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8"/>
  <workbookPr autoCompressPictures="0"/>
  <mc:AlternateContent xmlns:mc="http://schemas.openxmlformats.org/markup-compatibility/2006">
    <mc:Choice Requires="x15">
      <x15ac:absPath xmlns:x15ac="http://schemas.microsoft.com/office/spreadsheetml/2010/11/ac" url="/Users/jmurison/Documents/GIR/Sizing/"/>
    </mc:Choice>
  </mc:AlternateContent>
  <xr:revisionPtr revIDLastSave="0" documentId="13_ncr:1_{241BF75A-D67B-C140-B508-869A65E345F6}" xr6:coauthVersionLast="45" xr6:coauthVersionMax="45" xr10:uidLastSave="{00000000-0000-0000-0000-000000000000}"/>
  <bookViews>
    <workbookView xWindow="1300" yWindow="1200" windowWidth="36760" windowHeight="19760" tabRatio="810" xr2:uid="{00000000-000D-0000-FFFF-FFFF00000000}"/>
  </bookViews>
  <sheets>
    <sheet name="Revision History" sheetId="15" r:id="rId1"/>
    <sheet name="Version Changes" sheetId="14" r:id="rId2"/>
    <sheet name="Deployment input" sheetId="3" r:id="rId3"/>
    <sheet name="Output Summary" sheetId="11" r:id="rId4"/>
    <sheet name="Voice recording storage" sheetId="1" r:id="rId5"/>
    <sheet name="Screen recording storage" sheetId="2" r:id="rId6"/>
    <sheet name="MCP" sheetId="4" r:id="rId7"/>
    <sheet name="ICON" sheetId="5" r:id="rId8"/>
    <sheet name="RP" sheetId="6" r:id="rId9"/>
    <sheet name="Voice Processor" sheetId="16" r:id="rId10"/>
    <sheet name="Muxer" sheetId="17" r:id="rId11"/>
    <sheet name="RCS" sheetId="7" r:id="rId12"/>
    <sheet name="RWS" sheetId="9" r:id="rId13"/>
    <sheet name="Elasticsearch" sheetId="18" r:id="rId14"/>
    <sheet name="Cassandra" sheetId="10" r:id="rId15"/>
    <sheet name="WebDAV" sheetId="12" r:id="rId16"/>
    <sheet name="SpeechMiner" sheetId="13" r:id="rId17"/>
  </sheets>
  <definedNames>
    <definedName name="GIR_GIA">MCP!#REF!</definedName>
    <definedName name="MCPdiskcache">MCP!#REF!</definedName>
    <definedName name="MCPdiskcache2">MCP!#REF!</definedName>
    <definedName name="MCPType">MCP!#REF!</definedName>
    <definedName name="_xlnm.Print_Area" localSheetId="1">'Version Changes'!$A$1:$C$15</definedName>
    <definedName name="VideoQuality">'Screen recording storage'!$A$6:$A$8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8" l="1"/>
  <c r="C21" i="11" l="1"/>
  <c r="B20" i="18"/>
  <c r="B14" i="18"/>
  <c r="B19" i="18" l="1"/>
  <c r="B13" i="18"/>
  <c r="B28" i="9" l="1"/>
  <c r="B21" i="18"/>
  <c r="B25" i="18" s="1"/>
  <c r="B15" i="18"/>
  <c r="B24" i="18" s="1"/>
  <c r="B26" i="18" l="1"/>
  <c r="B4" i="13"/>
  <c r="B11" i="3"/>
  <c r="B27" i="18" l="1"/>
  <c r="E22" i="11" s="1"/>
  <c r="B19" i="11"/>
  <c r="C11" i="17" l="1"/>
  <c r="E19" i="11"/>
  <c r="D19" i="11"/>
  <c r="C19" i="11" l="1"/>
  <c r="B10" i="16"/>
  <c r="B2" i="11" l="1"/>
  <c r="B3" i="11" s="1"/>
  <c r="C36" i="11" l="1"/>
  <c r="B36" i="11"/>
  <c r="C35" i="11"/>
  <c r="B35" i="11"/>
  <c r="E34" i="11" l="1"/>
  <c r="B13" i="13"/>
  <c r="C34" i="11"/>
  <c r="B34" i="11"/>
  <c r="C32" i="11"/>
  <c r="B32" i="11"/>
  <c r="B11" i="13" l="1"/>
  <c r="B30" i="11"/>
  <c r="B43" i="13" l="1"/>
  <c r="E32" i="11" s="1"/>
  <c r="I25" i="11" l="1"/>
  <c r="B31" i="4"/>
  <c r="B21" i="4"/>
  <c r="B23" i="4"/>
  <c r="B34" i="4"/>
  <c r="B33" i="4"/>
  <c r="E8" i="3"/>
  <c r="B4" i="6" l="1"/>
  <c r="B5" i="6" s="1"/>
  <c r="B56" i="9"/>
  <c r="B41" i="9"/>
  <c r="B38" i="9"/>
  <c r="B53" i="9"/>
  <c r="B55" i="9"/>
  <c r="B40" i="9"/>
  <c r="B51" i="9"/>
  <c r="E10" i="3"/>
  <c r="E16" i="3" s="1"/>
  <c r="F14" i="3" s="1"/>
  <c r="B52" i="9"/>
  <c r="B54" i="9"/>
  <c r="B9" i="1"/>
  <c r="B5" i="1"/>
  <c r="B17" i="2"/>
  <c r="B18" i="2"/>
  <c r="C6" i="2"/>
  <c r="B9" i="7"/>
  <c r="B11" i="2"/>
  <c r="B10" i="7" s="1"/>
  <c r="D19" i="7" s="1"/>
  <c r="B7" i="7"/>
  <c r="C3" i="2"/>
  <c r="C4" i="2"/>
  <c r="C5" i="2"/>
  <c r="B17" i="4"/>
  <c r="B18" i="4"/>
  <c r="B19" i="4"/>
  <c r="B24" i="4"/>
  <c r="B15" i="1"/>
  <c r="B10" i="13"/>
  <c r="C41" i="13" s="1"/>
  <c r="C33" i="11" s="1"/>
  <c r="C31" i="11"/>
  <c r="B31" i="11"/>
  <c r="C30" i="11"/>
  <c r="I24" i="11"/>
  <c r="B13" i="6"/>
  <c r="B19" i="6" s="1"/>
  <c r="B39" i="9"/>
  <c r="B15" i="2"/>
  <c r="B16" i="2"/>
  <c r="B29" i="2"/>
  <c r="B32" i="2" s="1"/>
  <c r="B30" i="2"/>
  <c r="B28" i="2"/>
  <c r="B43" i="2"/>
  <c r="B36" i="2"/>
  <c r="C7" i="2"/>
  <c r="C8" i="2"/>
  <c r="B14" i="2"/>
  <c r="D17" i="11"/>
  <c r="B7" i="13"/>
  <c r="B19" i="5"/>
  <c r="B34" i="9"/>
  <c r="B33" i="9"/>
  <c r="B27" i="9"/>
  <c r="B14" i="1"/>
  <c r="B8" i="1"/>
  <c r="B22" i="2"/>
  <c r="B8" i="13"/>
  <c r="C20" i="11"/>
  <c r="H15" i="5"/>
  <c r="I15" i="5"/>
  <c r="H16" i="5"/>
  <c r="I16" i="5"/>
  <c r="I14" i="5"/>
  <c r="H14" i="5"/>
  <c r="E26" i="5"/>
  <c r="E27" i="5"/>
  <c r="E25" i="5"/>
  <c r="G15" i="5"/>
  <c r="G16" i="5"/>
  <c r="G14" i="5"/>
  <c r="B19" i="1"/>
  <c r="B8" i="7" l="1"/>
  <c r="B10" i="12"/>
  <c r="B17" i="11"/>
  <c r="I18" i="11"/>
  <c r="B20" i="5"/>
  <c r="D18" i="7"/>
  <c r="B14" i="3"/>
  <c r="B29" i="3" s="1"/>
  <c r="B18" i="18" s="1"/>
  <c r="B18" i="5"/>
  <c r="B21" i="5"/>
  <c r="E28" i="5"/>
  <c r="B41" i="13"/>
  <c r="B33" i="11" s="1"/>
  <c r="B42" i="9"/>
  <c r="A41" i="13"/>
  <c r="B13" i="2"/>
  <c r="B9" i="13"/>
  <c r="B46" i="13" s="1"/>
  <c r="B45" i="9"/>
  <c r="C55" i="9" s="1"/>
  <c r="D55" i="9" s="1"/>
  <c r="B31" i="2"/>
  <c r="B33" i="2" s="1"/>
  <c r="C33" i="2" s="1"/>
  <c r="B46" i="9"/>
  <c r="C56" i="9" s="1"/>
  <c r="D56" i="9" s="1"/>
  <c r="B32" i="4"/>
  <c r="B35" i="4" s="1"/>
  <c r="D8" i="2"/>
  <c r="D5" i="2"/>
  <c r="D7" i="2"/>
  <c r="D3" i="2"/>
  <c r="B20" i="3"/>
  <c r="C19" i="6"/>
  <c r="C17" i="11" s="1"/>
  <c r="B29" i="9"/>
  <c r="D6" i="2"/>
  <c r="B12" i="2" s="1"/>
  <c r="B11" i="12" s="1"/>
  <c r="D4" i="2"/>
  <c r="B18" i="7"/>
  <c r="B11" i="7"/>
  <c r="B19" i="7"/>
  <c r="B35" i="9"/>
  <c r="B19" i="2"/>
  <c r="B20" i="2" s="1"/>
  <c r="B22" i="4"/>
  <c r="B25" i="4" s="1"/>
  <c r="B29" i="4" s="1"/>
  <c r="B11" i="1"/>
  <c r="C11" i="1" s="1"/>
  <c r="B16" i="1"/>
  <c r="C16" i="1" s="1"/>
  <c r="B25" i="1"/>
  <c r="B24" i="1"/>
  <c r="B10" i="1"/>
  <c r="B13" i="7" s="1"/>
  <c r="B21" i="3" l="1"/>
  <c r="B11" i="18" s="1"/>
  <c r="B7" i="18"/>
  <c r="B5" i="18"/>
  <c r="I22" i="11" s="1"/>
  <c r="B6" i="18"/>
  <c r="C22" i="11" s="1"/>
  <c r="B7" i="17"/>
  <c r="B32" i="9"/>
  <c r="B7" i="12"/>
  <c r="B6" i="12"/>
  <c r="B14" i="6"/>
  <c r="B11" i="16"/>
  <c r="B5" i="12"/>
  <c r="E32" i="3"/>
  <c r="B1" i="11" s="1"/>
  <c r="B17" i="13"/>
  <c r="B14" i="13"/>
  <c r="E35" i="11" s="1"/>
  <c r="B12" i="13"/>
  <c r="B26" i="1"/>
  <c r="B27" i="1" s="1"/>
  <c r="B23" i="2"/>
  <c r="B44" i="2" s="1"/>
  <c r="B45" i="2" s="1"/>
  <c r="B46" i="2" s="1"/>
  <c r="B36" i="4"/>
  <c r="H25" i="11" s="1"/>
  <c r="B21" i="2"/>
  <c r="B25" i="2"/>
  <c r="B38" i="2" s="1"/>
  <c r="B24" i="2"/>
  <c r="C24" i="2" s="1"/>
  <c r="B24" i="10"/>
  <c r="B25" i="10"/>
  <c r="B20" i="1"/>
  <c r="B6" i="11" s="1"/>
  <c r="B21" i="1"/>
  <c r="C21" i="1" s="1"/>
  <c r="B28" i="4"/>
  <c r="D24" i="11" s="1"/>
  <c r="B26" i="4"/>
  <c r="B27" i="4" s="1"/>
  <c r="H24" i="11" s="1"/>
  <c r="B32" i="5"/>
  <c r="B35" i="5" s="1"/>
  <c r="B26" i="9"/>
  <c r="B5" i="9" s="1"/>
  <c r="I21" i="11" s="1"/>
  <c r="B20" i="10"/>
  <c r="B21" i="10"/>
  <c r="B22" i="10" s="1"/>
  <c r="B39" i="2" l="1"/>
  <c r="B10" i="11"/>
  <c r="B8" i="17"/>
  <c r="G11" i="17" s="1"/>
  <c r="G19" i="11" s="1"/>
  <c r="D15" i="16"/>
  <c r="B15" i="16" s="1"/>
  <c r="B18" i="11" s="1"/>
  <c r="B8" i="12"/>
  <c r="B12" i="12" s="1"/>
  <c r="B9" i="12"/>
  <c r="B13" i="12" s="1"/>
  <c r="C16" i="12" s="1"/>
  <c r="D26" i="11" s="1"/>
  <c r="B14" i="7"/>
  <c r="B47" i="2"/>
  <c r="F26" i="11" s="1"/>
  <c r="F21" i="11"/>
  <c r="C17" i="13"/>
  <c r="D17" i="13"/>
  <c r="B48" i="13"/>
  <c r="D35" i="11" s="1"/>
  <c r="B44" i="13"/>
  <c r="E31" i="11" s="1"/>
  <c r="F24" i="11"/>
  <c r="B37" i="4"/>
  <c r="B13" i="11"/>
  <c r="C25" i="2"/>
  <c r="B37" i="2"/>
  <c r="E29" i="10"/>
  <c r="E23" i="11" s="1"/>
  <c r="B7" i="11"/>
  <c r="C7" i="11" s="1"/>
  <c r="C51" i="9"/>
  <c r="D51" i="9" s="1"/>
  <c r="B49" i="9"/>
  <c r="B16" i="12"/>
  <c r="B26" i="11" s="1"/>
  <c r="B43" i="9"/>
  <c r="C52" i="9"/>
  <c r="D52" i="9" s="1"/>
  <c r="B44" i="9"/>
  <c r="C54" i="9" s="1"/>
  <c r="D54" i="9" s="1"/>
  <c r="E19" i="6"/>
  <c r="G17" i="11" s="1"/>
  <c r="D19" i="6"/>
  <c r="B23" i="10"/>
  <c r="D29" i="10"/>
  <c r="D23" i="11" s="1"/>
  <c r="C39" i="2"/>
  <c r="B11" i="11"/>
  <c r="C11" i="11" s="1"/>
  <c r="C15" i="16" l="1"/>
  <c r="C18" i="11" s="1"/>
  <c r="D33" i="11"/>
  <c r="F11" i="17"/>
  <c r="F19" i="11" s="1"/>
  <c r="H18" i="11"/>
  <c r="G18" i="11"/>
  <c r="B12" i="7"/>
  <c r="D20" i="7" s="1"/>
  <c r="D21" i="7" s="1"/>
  <c r="F20" i="11" s="1"/>
  <c r="B39" i="4"/>
  <c r="F25" i="11" s="1"/>
  <c r="B38" i="4"/>
  <c r="D25" i="11" s="1"/>
  <c r="C29" i="10"/>
  <c r="C23" i="11" s="1"/>
  <c r="B29" i="10"/>
  <c r="B23" i="11" s="1"/>
  <c r="C53" i="9"/>
  <c r="D53" i="9" s="1"/>
  <c r="D57" i="9" s="1"/>
  <c r="B21" i="11" s="1"/>
  <c r="B20" i="7" l="1"/>
  <c r="B21" i="7" s="1"/>
  <c r="B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helum</author>
    <author>Alex Lee</author>
  </authors>
  <commentList>
    <comment ref="A14" authorId="0" shapeId="0" xr:uid="{00000000-0006-0000-0200-000001000000}">
      <text>
        <r>
          <rPr>
            <b/>
            <sz val="9"/>
            <color rgb="FF000000"/>
            <rFont val="Tahoma"/>
            <family val="2"/>
          </rPr>
          <t>helum:</t>
        </r>
        <r>
          <rPr>
            <sz val="9"/>
            <color rgb="FF000000"/>
            <rFont val="Tahoma"/>
            <family val="2"/>
          </rPr>
          <t xml:space="preserve">
</t>
        </r>
        <r>
          <rPr>
            <sz val="9"/>
            <color rgb="FF000000"/>
            <rFont val="Tahoma"/>
            <family val="2"/>
          </rPr>
          <t>CAPS is derived from total busy hour calls - you can override it if there is a specific number for the deployment</t>
        </r>
      </text>
    </comment>
    <comment ref="D14" authorId="1" shapeId="0" xr:uid="{00000000-0006-0000-0200-000002000000}">
      <text>
        <r>
          <rPr>
            <b/>
            <sz val="9"/>
            <color rgb="FF000000"/>
            <rFont val="Tahoma"/>
            <family val="2"/>
          </rPr>
          <t>Alex Lee:</t>
        </r>
        <r>
          <rPr>
            <sz val="9"/>
            <color rgb="FF000000"/>
            <rFont val="Tahoma"/>
            <family val="2"/>
          </rPr>
          <t xml:space="preserve">
</t>
        </r>
        <r>
          <rPr>
            <sz val="9"/>
            <color rgb="FF000000"/>
            <rFont val="Tahoma"/>
            <family val="2"/>
          </rPr>
          <t>This is the number of MCPs provisioned as calculated by GVP sizing</t>
        </r>
      </text>
    </comment>
    <comment ref="F14" authorId="1" shapeId="0" xr:uid="{00000000-0006-0000-0200-000003000000}">
      <text>
        <r>
          <rPr>
            <b/>
            <sz val="9"/>
            <color rgb="FF000000"/>
            <rFont val="Tahoma"/>
            <family val="2"/>
          </rPr>
          <t>Alex Lee:</t>
        </r>
        <r>
          <rPr>
            <sz val="9"/>
            <color rgb="FF000000"/>
            <rFont val="Tahoma"/>
            <family val="2"/>
          </rPr>
          <t xml:space="preserve">
</t>
        </r>
        <r>
          <rPr>
            <sz val="9"/>
            <color rgb="FF000000"/>
            <rFont val="Tahoma"/>
            <family val="2"/>
          </rPr>
          <t xml:space="preserve">If you have entered a value for the "Number of MCP servers provisioned for IVR" you should also have a value for "Call attempts per second (IVR)"
</t>
        </r>
      </text>
    </comment>
    <comment ref="D21" authorId="0" shapeId="0" xr:uid="{00000000-0006-0000-0200-000004000000}">
      <text>
        <r>
          <rPr>
            <b/>
            <sz val="9"/>
            <color rgb="FF000000"/>
            <rFont val="Tahoma"/>
            <family val="2"/>
          </rPr>
          <t>helum:</t>
        </r>
        <r>
          <rPr>
            <sz val="9"/>
            <color rgb="FF000000"/>
            <rFont val="Tahoma"/>
            <family val="2"/>
          </rPr>
          <t xml:space="preserve">
</t>
        </r>
        <r>
          <rPr>
            <sz val="9"/>
            <color rgb="FF000000"/>
            <rFont val="Tahoma"/>
            <family val="2"/>
          </rPr>
          <t>Enter 1000 for GB network</t>
        </r>
      </text>
    </comment>
    <comment ref="D22" authorId="0" shapeId="0" xr:uid="{00000000-0006-0000-0200-000005000000}">
      <text>
        <r>
          <rPr>
            <b/>
            <sz val="9"/>
            <color rgb="FF000000"/>
            <rFont val="Tahoma"/>
            <family val="2"/>
          </rPr>
          <t>helum:</t>
        </r>
        <r>
          <rPr>
            <sz val="9"/>
            <color rgb="FF000000"/>
            <rFont val="Tahoma"/>
            <family val="2"/>
          </rPr>
          <t xml:space="preserve">
</t>
        </r>
        <r>
          <rPr>
            <sz val="9"/>
            <color rgb="FF000000"/>
            <rFont val="Tahoma"/>
            <family val="2"/>
          </rPr>
          <t xml:space="preserve">Reference for HDD performance:
</t>
        </r>
        <r>
          <rPr>
            <sz val="9"/>
            <color rgb="FF000000"/>
            <rFont val="Tahoma"/>
            <family val="2"/>
          </rPr>
          <t xml:space="preserve">7200RPM ~ 75-100 IOPS
</t>
        </r>
        <r>
          <rPr>
            <sz val="9"/>
            <color rgb="FF000000"/>
            <rFont val="Tahoma"/>
            <family val="2"/>
          </rPr>
          <t xml:space="preserve">10000RPM ~ 125-150 IOPS
</t>
        </r>
        <r>
          <rPr>
            <sz val="9"/>
            <color rgb="FF000000"/>
            <rFont val="Tahoma"/>
            <family val="2"/>
          </rPr>
          <t xml:space="preserve">15000RPM ~ 175-210 IOPS
</t>
        </r>
        <r>
          <rPr>
            <sz val="9"/>
            <color rgb="FF000000"/>
            <rFont val="Tahoma"/>
            <family val="2"/>
          </rPr>
          <t>SSD - performance varies greatly from 6000 IOPS to 1M IOPS. Please check specifications</t>
        </r>
      </text>
    </comment>
    <comment ref="A38" authorId="0" shapeId="0" xr:uid="{00000000-0006-0000-0200-000006000000}">
      <text>
        <r>
          <rPr>
            <b/>
            <sz val="9"/>
            <color rgb="FF000000"/>
            <rFont val="Tahoma"/>
            <family val="2"/>
          </rPr>
          <t>helum:</t>
        </r>
        <r>
          <rPr>
            <sz val="9"/>
            <color rgb="FF000000"/>
            <rFont val="Tahoma"/>
            <family val="2"/>
          </rPr>
          <t xml:space="preserve">
</t>
        </r>
        <r>
          <rPr>
            <sz val="9"/>
            <color rgb="FF000000"/>
            <rFont val="Tahoma"/>
            <family val="2"/>
          </rPr>
          <t xml:space="preserve">Low - 250kbps
</t>
        </r>
        <r>
          <rPr>
            <sz val="9"/>
            <color rgb="FF000000"/>
            <rFont val="Tahoma"/>
            <family val="2"/>
          </rPr>
          <t xml:space="preserve">Standard - 350 kbps
</t>
        </r>
        <r>
          <rPr>
            <sz val="9"/>
            <color rgb="FF000000"/>
            <rFont val="Tahoma"/>
            <family val="2"/>
          </rPr>
          <t>High - 600 kbps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Lee</author>
  </authors>
  <commentList>
    <comment ref="A36" authorId="0" shapeId="0" xr:uid="{00000000-0006-0000-0600-000001000000}">
      <text>
        <r>
          <rPr>
            <b/>
            <sz val="9"/>
            <color indexed="81"/>
            <rFont val="Tahoma"/>
            <family val="2"/>
          </rPr>
          <t>Alex Lee:</t>
        </r>
        <r>
          <rPr>
            <sz val="9"/>
            <color indexed="81"/>
            <rFont val="Tahoma"/>
            <family val="2"/>
          </rPr>
          <t xml:space="preserve">
This is the additional MCPs needed for the customer's IVR group of MCPs.  In this spreadsheet we assume the following:
- The customer already made calculations on how many MCPs they need for handling their IVR applications
The number generated here is the number of *additional* MCPs needed to be added to their group of MCPs for IVR applications.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C35" authorId="0" shapeId="0" xr:uid="{00000000-0006-0000-0700-000001000000}">
      <text>
        <r>
          <rPr>
            <b/>
            <sz val="9"/>
            <color indexed="81"/>
            <rFont val="Tahoma"/>
            <family val="2"/>
          </rPr>
          <t>helum:</t>
        </r>
        <r>
          <rPr>
            <sz val="9"/>
            <color indexed="81"/>
            <rFont val="Tahoma"/>
            <family val="2"/>
          </rPr>
          <t xml:space="preserve">
there is no memory growth trend to observe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B14" authorId="0" shapeId="0" xr:uid="{00000000-0006-0000-0A00-000001000000}">
      <text>
        <r>
          <rPr>
            <b/>
            <sz val="9"/>
            <color indexed="81"/>
            <rFont val="Tahoma"/>
            <family val="2"/>
          </rPr>
          <t>helum:</t>
        </r>
        <r>
          <rPr>
            <sz val="9"/>
            <color indexed="81"/>
            <rFont val="Tahoma"/>
            <family val="2"/>
          </rPr>
          <t xml:space="preserve">
From Simon's load test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7" authorId="0" shapeId="0" xr:uid="{95F33A25-9E1F-304C-B2F4-FC741D7D1034}">
      <text>
        <r>
          <rPr>
            <b/>
            <sz val="10"/>
            <color rgb="FF000000"/>
            <rFont val="Tahoma"/>
            <family val="2"/>
          </rPr>
          <t>Jamie Murison:</t>
        </r>
        <r>
          <rPr>
            <sz val="10"/>
            <color rgb="FF000000"/>
            <rFont val="Tahoma"/>
            <family val="2"/>
          </rPr>
          <t xml:space="preserve">
</t>
        </r>
        <r>
          <rPr>
            <sz val="10"/>
            <color rgb="FF000000"/>
            <rFont val="Calibri"/>
            <family val="2"/>
          </rPr>
          <t xml:space="preserve">Assumes shards can be evenly distributed across instances.
</t>
        </r>
      </text>
    </comment>
  </commentList>
</comments>
</file>

<file path=xl/sharedStrings.xml><?xml version="1.0" encoding="utf-8"?>
<sst xmlns="http://schemas.openxmlformats.org/spreadsheetml/2006/main" count="602" uniqueCount="427">
  <si>
    <t>Revision History</t>
  </si>
  <si>
    <t>Date</t>
  </si>
  <si>
    <t>Version</t>
  </si>
  <si>
    <t>Author</t>
  </si>
  <si>
    <t>Initial Publication</t>
  </si>
  <si>
    <t>Henry Lum</t>
  </si>
  <si>
    <t>Version Changes</t>
  </si>
  <si>
    <t>Version #</t>
  </si>
  <si>
    <t>8.5.208.01</t>
  </si>
  <si>
    <t>Components</t>
  </si>
  <si>
    <t>MCP</t>
  </si>
  <si>
    <t>x</t>
  </si>
  <si>
    <t>ICON</t>
  </si>
  <si>
    <t>Recording Processor</t>
  </si>
  <si>
    <t>Recording Crypto Server</t>
  </si>
  <si>
    <t>SpeechMiner</t>
  </si>
  <si>
    <t>Storage Sizing</t>
  </si>
  <si>
    <t>Voice Recording Storage and Network Bandwidth</t>
  </si>
  <si>
    <t>Screen Recording Storage and Network Bandwidth</t>
  </si>
  <si>
    <t>3rd Party Software</t>
  </si>
  <si>
    <t>Cassandra</t>
  </si>
  <si>
    <t>WebDAV (httpd)</t>
  </si>
  <si>
    <t>Total agents</t>
  </si>
  <si>
    <t>Voice Agents</t>
  </si>
  <si>
    <t>IVR</t>
  </si>
  <si>
    <t>Concurrent agents being recorded</t>
  </si>
  <si>
    <t>Percentage of calls recorded</t>
  </si>
  <si>
    <t>IVR average duration</t>
  </si>
  <si>
    <t>Busy hour agent interaction</t>
  </si>
  <si>
    <t>Busy hour calls</t>
  </si>
  <si>
    <t>Recordings per day</t>
  </si>
  <si>
    <t>Peak interaction factor</t>
  </si>
  <si>
    <t>Call attempts per second (Voice)</t>
  </si>
  <si>
    <t>Call attempts per second (IVR)</t>
  </si>
  <si>
    <t>Average talk time (seconds)</t>
  </si>
  <si>
    <t>Percentage of calls with call transfers (same site)</t>
  </si>
  <si>
    <t>Percentage of calls with call transfers (different site)</t>
  </si>
  <si>
    <t>Voice Recording</t>
  </si>
  <si>
    <t>System Inputs</t>
  </si>
  <si>
    <t>Total busy hour calls (voice + IVR)</t>
  </si>
  <si>
    <t>Network interface speed (Mbps)</t>
  </si>
  <si>
    <t>Total CAPS</t>
  </si>
  <si>
    <t>Disk IOPS provisioned for each server</t>
  </si>
  <si>
    <t>Voice retention period (days)</t>
  </si>
  <si>
    <t>Number of attached data per call</t>
  </si>
  <si>
    <t>MCP Sizing Input</t>
  </si>
  <si>
    <t>Concurrent SpeechMiner users for playback</t>
  </si>
  <si>
    <t>Recording bitrate</t>
  </si>
  <si>
    <t>16kbps mp3 (stereo)</t>
  </si>
  <si>
    <t>Concurrent API users for playback</t>
  </si>
  <si>
    <t>Encryption?</t>
  </si>
  <si>
    <t>Encryption enabled</t>
  </si>
  <si>
    <t>GIR or GIR+GIA?</t>
  </si>
  <si>
    <t>GIR</t>
  </si>
  <si>
    <t>Screen Recording for Voice Agents</t>
  </si>
  <si>
    <t>Operating System</t>
  </si>
  <si>
    <t>Windows 2008 R2</t>
  </si>
  <si>
    <t>Percentage of screen recorded for voice interactions</t>
  </si>
  <si>
    <t>CPU cores per VM (up to 8)</t>
  </si>
  <si>
    <t>Screen recording upload CAPS</t>
  </si>
  <si>
    <t>Average duration of after call work (s)</t>
  </si>
  <si>
    <t>All inputs entered?</t>
  </si>
  <si>
    <t>Screen Recording for Non-Voice only Agents</t>
  </si>
  <si>
    <t>Non-voice agents</t>
  </si>
  <si>
    <t>Average hours recorded per agent per day</t>
  </si>
  <si>
    <t>Average file duration (minutes)</t>
  </si>
  <si>
    <t>Screen Recording</t>
  </si>
  <si>
    <t>Video quality</t>
  </si>
  <si>
    <t>low (color)</t>
  </si>
  <si>
    <t>Upload window (hours per day; zero for immediate)</t>
  </si>
  <si>
    <t>Video retention period (days)</t>
  </si>
  <si>
    <t>Concurrent SpeechMiner users for screen playback</t>
  </si>
  <si>
    <t>Voice Recording Storage</t>
  </si>
  <si>
    <t>Voice size required per day (GB)</t>
  </si>
  <si>
    <t>Voice size required for retention (GB)</t>
  </si>
  <si>
    <t>Screen Recording Storage</t>
  </si>
  <si>
    <t>Screen size required per day (GB)</t>
  </si>
  <si>
    <t>Screen size required for retention (GB)</t>
  </si>
  <si>
    <t>Screen recording client upload bandwidth (Mbps)</t>
  </si>
  <si>
    <t>CPU</t>
  </si>
  <si>
    <t>Memory (MB)</t>
  </si>
  <si>
    <t>IOPS</t>
  </si>
  <si>
    <t>Disk space (GB)</t>
  </si>
  <si>
    <t>Network bandwidth (Mbps)</t>
  </si>
  <si>
    <t># of instances required</t>
  </si>
  <si>
    <t>Servers needed</t>
  </si>
  <si>
    <t>Cores per VM</t>
  </si>
  <si>
    <t>Muxer</t>
  </si>
  <si>
    <t>RCS (per instance)</t>
  </si>
  <si>
    <t>Cassandra (per instance)</t>
  </si>
  <si>
    <t>refer to recording storage</t>
  </si>
  <si>
    <t>SpeechMiner Server Recommendations for GIR</t>
  </si>
  <si>
    <t>RAM</t>
  </si>
  <si>
    <t>Interaction Receiver</t>
  </si>
  <si>
    <t>Web</t>
  </si>
  <si>
    <t>Audio Quality</t>
  </si>
  <si>
    <t>8kbps mp3 (mono)</t>
  </si>
  <si>
    <t>mp3 bitrate for calculation</t>
  </si>
  <si>
    <t>Calls per day</t>
  </si>
  <si>
    <t>Average voice file length (s)</t>
  </si>
  <si>
    <t>Average voice file size (KB)</t>
  </si>
  <si>
    <t>Recording size per day (MB)</t>
  </si>
  <si>
    <t>Average file length (s)</t>
  </si>
  <si>
    <t>Output</t>
  </si>
  <si>
    <t>Total size required per day (GB)</t>
  </si>
  <si>
    <t>Total size required for retention (GB)</t>
  </si>
  <si>
    <t>Network Bandwidth Requirement</t>
  </si>
  <si>
    <t>Busy Hour agent calls</t>
  </si>
  <si>
    <t>Busy Hour IVR calls</t>
  </si>
  <si>
    <t>Busy hour total recording size (MB)</t>
  </si>
  <si>
    <t>MCP to WebDAV (Mbps)</t>
  </si>
  <si>
    <t>Video Quality</t>
  </si>
  <si>
    <t>Kbps</t>
  </si>
  <si>
    <t>KB/minute</t>
  </si>
  <si>
    <t>KB/Min with voice</t>
  </si>
  <si>
    <t>off</t>
  </si>
  <si>
    <t>low (grayscale)</t>
  </si>
  <si>
    <t>standard (grayscale)</t>
  </si>
  <si>
    <t>high (grayscale)</t>
  </si>
  <si>
    <t>standard (color)</t>
  </si>
  <si>
    <t>high (color)</t>
  </si>
  <si>
    <t>Screen Recording for Voice</t>
  </si>
  <si>
    <t>bitrate for this deployment</t>
  </si>
  <si>
    <t>Recording size KB/minute</t>
  </si>
  <si>
    <t>Busy hour agent calls</t>
  </si>
  <si>
    <t>Number of agents</t>
  </si>
  <si>
    <t>Number of calls per day</t>
  </si>
  <si>
    <t>Average voice recording duration</t>
  </si>
  <si>
    <t>Average ACW</t>
  </si>
  <si>
    <t>Average screen recording duration (s)</t>
  </si>
  <si>
    <t>Average screen file size (KB)</t>
  </si>
  <si>
    <t>Video recording duration during busy hour (s)</t>
  </si>
  <si>
    <t>Video recording uploaded per day (MB)</t>
  </si>
  <si>
    <t>Total storage per day - muxed with audio</t>
  </si>
  <si>
    <t>Screen Recording for Non-Voice</t>
  </si>
  <si>
    <t>Average duration per day per agent (hours)</t>
  </si>
  <si>
    <t>Video size per agent per day (MB)</t>
  </si>
  <si>
    <t>Video recording per day (MB)</t>
  </si>
  <si>
    <t>Total recording uploaded per day (GB)</t>
  </si>
  <si>
    <t>Total storage per day (GB)</t>
  </si>
  <si>
    <t>Total storage required for retention (GB)</t>
  </si>
  <si>
    <t>Upload window</t>
  </si>
  <si>
    <t>Busy hour total screen recording duration(s)</t>
  </si>
  <si>
    <t>Busy hour total bandwidth (Mbps)</t>
  </si>
  <si>
    <t>Keywords</t>
  </si>
  <si>
    <t>Recording Format</t>
  </si>
  <si>
    <t>No encryption</t>
  </si>
  <si>
    <t>RHEL 6</t>
  </si>
  <si>
    <t>GIR+GIA</t>
  </si>
  <si>
    <t>Port Density Factors</t>
  </si>
  <si>
    <t>Baseline</t>
  </si>
  <si>
    <t>Encryption</t>
  </si>
  <si>
    <t>mp3+wav</t>
  </si>
  <si>
    <t>8kbps mp3 mono</t>
  </si>
  <si>
    <t>Disk IOPS</t>
  </si>
  <si>
    <t>c</t>
  </si>
  <si>
    <t>k</t>
  </si>
  <si>
    <t>Input Parameters</t>
  </si>
  <si>
    <t>recording format</t>
  </si>
  <si>
    <t>Derived density</t>
  </si>
  <si>
    <t>core per CPU</t>
  </si>
  <si>
    <t>Ports per server</t>
  </si>
  <si>
    <t>Servers needed (no HA)</t>
  </si>
  <si>
    <t>Servers needed (HA)</t>
  </si>
  <si>
    <t>Disk IOPS per server</t>
  </si>
  <si>
    <t>G711 bandwidth for bridging (Mbps)</t>
  </si>
  <si>
    <t>Configurations</t>
  </si>
  <si>
    <t>Configuration 1</t>
  </si>
  <si>
    <t>VM instances</t>
  </si>
  <si>
    <t>Core speed (Ghz)</t>
  </si>
  <si>
    <t xml:space="preserve">Total cores </t>
  </si>
  <si>
    <t>Total RAM</t>
  </si>
  <si>
    <t>Disk</t>
  </si>
  <si>
    <t>Host OS</t>
  </si>
  <si>
    <t>ESX</t>
  </si>
  <si>
    <t>Guest OS</t>
  </si>
  <si>
    <t>Ubuntu</t>
  </si>
  <si>
    <t>ICON DB (SQL Server)</t>
  </si>
  <si>
    <t>AHT</t>
  </si>
  <si>
    <t>CAPS</t>
  </si>
  <si>
    <t>CPU per core %</t>
  </si>
  <si>
    <t>IO Read KB/sec</t>
  </si>
  <si>
    <t>IO Write KB/sec</t>
  </si>
  <si>
    <t>Mem (MB)</t>
  </si>
  <si>
    <t>CPU/CAPS</t>
  </si>
  <si>
    <t>IO read /CAPS</t>
  </si>
  <si>
    <t>IO write /CAPS</t>
  </si>
  <si>
    <t>average CPU/CAPS</t>
  </si>
  <si>
    <t>memory usage</t>
  </si>
  <si>
    <t>average IO read KB/sec per CAPS</t>
  </si>
  <si>
    <t>averge IO write KB/sec per CAPS</t>
  </si>
  <si>
    <t>Average CPU/CAPS</t>
  </si>
  <si>
    <t>Input parameters</t>
  </si>
  <si>
    <t>Memory</t>
  </si>
  <si>
    <t xml:space="preserve">ICON estimated usage </t>
  </si>
  <si>
    <t>CAPS per RP instance</t>
  </si>
  <si>
    <t>IOPS per CAPS</t>
  </si>
  <si>
    <t>Memory per instance (&gt;5000 agents)</t>
  </si>
  <si>
    <t>Memory per instance (&lt;5000 agents)</t>
  </si>
  <si>
    <t>Average CPU per instance (&gt;5000 agents)</t>
  </si>
  <si>
    <t>Average CPU per instance (&lt;5000 agents)</t>
  </si>
  <si>
    <t>CPU per instance</t>
  </si>
  <si>
    <t>Memory (MB) per instance</t>
  </si>
  <si>
    <t>Number of instances (no HA)</t>
  </si>
  <si>
    <t>RP estimated usage (total)</t>
  </si>
  <si>
    <t>Average CPU per CAPS</t>
  </si>
  <si>
    <t>Average CPU per kbps (voice)</t>
  </si>
  <si>
    <t>Average CPU per kbps (screen)</t>
  </si>
  <si>
    <t>Playback Input Parameters</t>
  </si>
  <si>
    <t>Total concurrent playback users (voice)</t>
  </si>
  <si>
    <t>Playback bitrate (kbps)</t>
  </si>
  <si>
    <t>Total concurrent playback users (screen)</t>
  </si>
  <si>
    <t>Total Playback bitrate</t>
  </si>
  <si>
    <t>Muxer (retrieve) CAPS</t>
  </si>
  <si>
    <t>Average audio files size (KB)</t>
  </si>
  <si>
    <t xml:space="preserve">RCS estimated usage </t>
  </si>
  <si>
    <t>Voice playback usage</t>
  </si>
  <si>
    <t>Screen playback usage</t>
  </si>
  <si>
    <t>Muxer usage</t>
  </si>
  <si>
    <t>Profile 1</t>
  </si>
  <si>
    <t>Average CPU/CAPS (voice upload)</t>
  </si>
  <si>
    <t>Average CPU/CAPS (screen upload)</t>
  </si>
  <si>
    <t>Average CPU/CAPS (voice playback)</t>
  </si>
  <si>
    <t>Average CPU/CAPS (screen playback)</t>
  </si>
  <si>
    <t>Memory base for voice (MB)</t>
  </si>
  <si>
    <t>Memory increase per voice CAPS (MB)</t>
  </si>
  <si>
    <t>Memory base for screen (MB)</t>
  </si>
  <si>
    <t>Memory increase per screen CAPS (MB)</t>
  </si>
  <si>
    <t>Voice Input Parameters</t>
  </si>
  <si>
    <t>Voice CAPS</t>
  </si>
  <si>
    <t>Number of recordings per day</t>
  </si>
  <si>
    <t>Amount of records</t>
  </si>
  <si>
    <t>Screen Input Parameters</t>
  </si>
  <si>
    <t>Screen CAPS</t>
  </si>
  <si>
    <t>times this by 2</t>
  </si>
  <si>
    <t>Retention period (days)</t>
  </si>
  <si>
    <t>Voice playback duration (+ACW)</t>
  </si>
  <si>
    <t>IVR playback duration</t>
  </si>
  <si>
    <t>Total concurrent voice playback users</t>
  </si>
  <si>
    <t>Total concurrent screen playback users</t>
  </si>
  <si>
    <t>Average playback duration (s)</t>
  </si>
  <si>
    <t>Muxer (Retrieve) CAPS</t>
  </si>
  <si>
    <t>Muxer (update) CAPS</t>
  </si>
  <si>
    <t>Voice playback CAPS</t>
  </si>
  <si>
    <t>Screen playback CAPS</t>
  </si>
  <si>
    <t>Refer to cassandra</t>
  </si>
  <si>
    <t>Voice usage</t>
  </si>
  <si>
    <t>Screen usage</t>
  </si>
  <si>
    <t>Muxer (retrieve) usage</t>
  </si>
  <si>
    <t>Muxer (update) usage</t>
  </si>
  <si>
    <t>Voice Playback usage</t>
  </si>
  <si>
    <t>Screen Playback usage</t>
  </si>
  <si>
    <t>Total usage</t>
  </si>
  <si>
    <t>Disk growth per 100K records (MB)</t>
  </si>
  <si>
    <t>memory base</t>
  </si>
  <si>
    <t>memory per CAPS</t>
  </si>
  <si>
    <t>IOPS base for voice</t>
  </si>
  <si>
    <t>IOPS per CAPS (voice)</t>
  </si>
  <si>
    <t>IOPS base for screen</t>
  </si>
  <si>
    <t>IOPS per CAPS (screen)</t>
  </si>
  <si>
    <t>CAPS (voice)</t>
  </si>
  <si>
    <t>CAPS (screen)</t>
  </si>
  <si>
    <t>CAPS (muxer) updates same as screen</t>
  </si>
  <si>
    <t>Voice records during retention</t>
  </si>
  <si>
    <t>Screen records durin retention</t>
  </si>
  <si>
    <t xml:space="preserve">Cassandra estimated usage </t>
  </si>
  <si>
    <t>Total CAPS (voice+screen)</t>
  </si>
  <si>
    <t>SpeechMiner DB initial size (GB)</t>
  </si>
  <si>
    <t>Size increase per 100K records (GB)</t>
  </si>
  <si>
    <t>Concurrent recorded agents</t>
  </si>
  <si>
    <t>SpeechMiner storage sizing</t>
  </si>
  <si>
    <t>Disk space required (GB)</t>
  </si>
  <si>
    <t>SpeechMiner Server specification</t>
  </si>
  <si>
    <t>Uplatform</t>
  </si>
  <si>
    <t>DB (small)</t>
  </si>
  <si>
    <t>DB (medium)</t>
  </si>
  <si>
    <t>DB (large)</t>
  </si>
  <si>
    <t>32GB</t>
  </si>
  <si>
    <t>DB (xlarge)</t>
  </si>
  <si>
    <t>64GB</t>
  </si>
  <si>
    <t>SpeechMiner deployment size</t>
  </si>
  <si>
    <t>small</t>
  </si>
  <si>
    <t>medium</t>
  </si>
  <si>
    <t>large</t>
  </si>
  <si>
    <t>xlarge</t>
  </si>
  <si>
    <t>Recommended DB Server size</t>
  </si>
  <si>
    <t xml:space="preserve">Update to include performance data for voice/screen decryption through GWS </t>
  </si>
  <si>
    <t>8.5.210.01</t>
  </si>
  <si>
    <t>8.5.211.01</t>
  </si>
  <si>
    <t>Update to account for RWS sizing after Jetty change.</t>
  </si>
  <si>
    <t>Response time for RWS (s)</t>
  </si>
  <si>
    <t>Response time for Interaction Receiver (s)</t>
  </si>
  <si>
    <t>RP internal processing time + ICON (s)</t>
  </si>
  <si>
    <t>Total RP processing time (s)</t>
  </si>
  <si>
    <t>Component sizing output</t>
  </si>
  <si>
    <t>Update RP sizing to account for Interaction Receiver improvements; added instructions</t>
  </si>
  <si>
    <t>8.5.211.02</t>
  </si>
  <si>
    <t>Fix GIR-8924</t>
  </si>
  <si>
    <t>Total IVR Ports</t>
  </si>
  <si>
    <t>IVR Ports recorded using agent recording method with SIP  Server DN configuration</t>
  </si>
  <si>
    <t>IVR Ports recorded using VXML application-level control</t>
  </si>
  <si>
    <t>Concurrent agent-like recordings</t>
  </si>
  <si>
    <t>Agent -like recordings</t>
  </si>
  <si>
    <t>Concurrent VXML application-level controlled recordings</t>
  </si>
  <si>
    <t>VXML application-level control IVR recordings</t>
  </si>
  <si>
    <t>IVR Recording Baseline</t>
  </si>
  <si>
    <t>Number of MCP servers provisioned for IVR, based on GVP Sizing</t>
  </si>
  <si>
    <t>Additional MCP servers for IVR recordings needed</t>
  </si>
  <si>
    <t>Total MCP servers needed</t>
  </si>
  <si>
    <t>Additional Disk IOPS per server</t>
  </si>
  <si>
    <t>Additional G711 bandwidth for bridging (Mbps)</t>
  </si>
  <si>
    <t>MCP for agent-like recording (per server)</t>
  </si>
  <si>
    <t>Added info about IVR Recording</t>
  </si>
  <si>
    <t>Alex Lee</t>
  </si>
  <si>
    <t>Description</t>
  </si>
  <si>
    <t xml:space="preserve">Additional MCPs for IVR recording (per server).
This is in addition to the MCPs already provisioned
from GVP sizing as needed for IVR purposes </t>
  </si>
  <si>
    <t>8.5.212.03</t>
  </si>
  <si>
    <t>128GB</t>
  </si>
  <si>
    <t>16GB</t>
  </si>
  <si>
    <t>Recommended Web Server Quantity without High Availability</t>
  </si>
  <si>
    <t xml:space="preserve">DB ( Data) </t>
  </si>
  <si>
    <t xml:space="preserve">DB ( log) </t>
  </si>
  <si>
    <t>DB ( Temp)</t>
  </si>
  <si>
    <t>Recommended IR Quantity without High Availability</t>
  </si>
  <si>
    <t xml:space="preserve">Number of CAPS per  IR </t>
  </si>
  <si>
    <t>Concurrent Recording UI users for playback</t>
  </si>
  <si>
    <t>RWS (per instance)</t>
  </si>
  <si>
    <t>Screen recording client to RWS (Mbps)</t>
  </si>
  <si>
    <t>RWS to WebDAV</t>
  </si>
  <si>
    <t>RWS 3 node cluster</t>
  </si>
  <si>
    <t>RWS</t>
  </si>
  <si>
    <t>RWS (formerly known as HTCC)</t>
  </si>
  <si>
    <t>Changed all "HTCC" to "RWS" to reflect product name change</t>
  </si>
  <si>
    <t>David Konig</t>
  </si>
  <si>
    <t>8GB</t>
  </si>
  <si>
    <t>Elasticsearch Master nodes</t>
  </si>
  <si>
    <t>Elasticsearch Data nodes</t>
  </si>
  <si>
    <t>Speechminer Elasticsearch</t>
  </si>
  <si>
    <t>Number of copies of data stored in Elasticsearch</t>
  </si>
  <si>
    <t>Disk space used per recording (Bytes)</t>
  </si>
  <si>
    <t>Total number of recording copies stored</t>
  </si>
  <si>
    <t>Recommended number of Elasticsearch Master Nodes with High Availability</t>
  </si>
  <si>
    <t>Recommended number of Elasticsearch Data Nodes</t>
  </si>
  <si>
    <t>Average disk usage per Elasticsearch Data Node (Gbytes)</t>
  </si>
  <si>
    <t>Dual 8-Core Xeon Silver 4110 2.1GHz</t>
  </si>
  <si>
    <t>Dual 8-Core Xeon E5-4655 v4 2.5 GHz</t>
  </si>
  <si>
    <t>Dual 16-Core Xeon E5-4660 v4 2.2 GHz</t>
  </si>
  <si>
    <t>Indexer</t>
  </si>
  <si>
    <t>4-Core Xeon Silver 4112  2.6 GHz</t>
  </si>
  <si>
    <t xml:space="preserve">4-Core Xeon Silver 4112  2.6 GHz </t>
  </si>
  <si>
    <t xml:space="preserve">Dual 8-Core Xeon Silver 4110  2.1 GHz </t>
  </si>
  <si>
    <t>Recommended number of Indexer machines</t>
  </si>
  <si>
    <t>Fix GIR-20849</t>
  </si>
  <si>
    <t>Sathya Narayanan</t>
  </si>
  <si>
    <t>Instructions</t>
  </si>
  <si>
    <t>Fill in all fields with orange or red. Use the default value if you are not sure what to enter. If you see a green checkmark next to "All inputs entered?" then the deployment input is complete. Incomplete fields are marked as red. The sizing output is in "Output Summary" view.</t>
  </si>
  <si>
    <t>Database</t>
  </si>
  <si>
    <t>Fix GIR-21167, GIR-21815</t>
  </si>
  <si>
    <t>Fix GIR-22739</t>
  </si>
  <si>
    <t>UPlatform (Scheduler)</t>
  </si>
  <si>
    <t>Bandwidth (Mbps)</t>
  </si>
  <si>
    <t>Is the sizing within the size limit of this spreadsheet?</t>
  </si>
  <si>
    <t>Total number of ES document</t>
  </si>
  <si>
    <t xml:space="preserve">Apache httpd WebDAV estimated usage </t>
  </si>
  <si>
    <t>Apache httpd WebDAV</t>
  </si>
  <si>
    <t>Average raw screen file size (KB)</t>
  </si>
  <si>
    <t>Average muxed screen file size (KB)</t>
  </si>
  <si>
    <t>Data rate for uploading voice recording (Kbytes/sec)</t>
  </si>
  <si>
    <t>Data rate for screen recording upload (Kbytes/sec)</t>
  </si>
  <si>
    <t>Data written per write operation (KBytes)</t>
  </si>
  <si>
    <t>Data read per read operation (KBytes)</t>
  </si>
  <si>
    <t>Data rate for Muxer to read recordings (Kbytes/sec)</t>
  </si>
  <si>
    <t>Data rate for Muxer to write recordings (Kbytes/sec)</t>
  </si>
  <si>
    <t>Data rate for voice playback (Kbytes/sec)</t>
  </si>
  <si>
    <t>Data rate for screen playback (Kbytes/sec)</t>
  </si>
  <si>
    <t>Total IOPS for read operations</t>
  </si>
  <si>
    <t>Total IOPS for write operations</t>
  </si>
  <si>
    <t>% CPU usage per CAP</t>
  </si>
  <si>
    <t>Memory usage per CAP (MB)</t>
  </si>
  <si>
    <t>Constants</t>
  </si>
  <si>
    <t>Limit for CAP per Voice Processor instance</t>
  </si>
  <si>
    <t>Voice Processor estimated usage (total)</t>
  </si>
  <si>
    <t>Classic Recording Processor</t>
  </si>
  <si>
    <t>Docker Voice Processor</t>
  </si>
  <si>
    <t>Metadata Processing</t>
  </si>
  <si>
    <t>Component used for Metadata Processing</t>
  </si>
  <si>
    <t>n/a</t>
  </si>
  <si>
    <t>negligible</t>
  </si>
  <si>
    <t>Using Voice Processor?</t>
  </si>
  <si>
    <t>Classic RP (per instance)</t>
  </si>
  <si>
    <t>Docker Voice Processor (per instance)</t>
  </si>
  <si>
    <t>Max peak CAPS</t>
  </si>
  <si>
    <t>Peak CAPS</t>
  </si>
  <si>
    <t>Disk Space (GB)</t>
  </si>
  <si>
    <t>Max peak data throughput (kbps)</t>
  </si>
  <si>
    <t>Peak Data Throughput (kbps)</t>
  </si>
  <si>
    <t>Muxer estimated usage (total)</t>
  </si>
  <si>
    <t>Provide sizing info for Muxer and Voice Processor.  Fix GIR-21938, GIR-23771, GIR-22923, 22739</t>
  </si>
  <si>
    <t>Updated maximum number of documents supported in Elasticsearch</t>
  </si>
  <si>
    <t>Jamie Murison</t>
  </si>
  <si>
    <t>Note: This sizing spreadsheet should only be used when the total number of Elasticsearch documents are within 24 billion records.  Please contact GIR Engineering team if the number of ES documents exceeds this number</t>
  </si>
  <si>
    <t>Updated SpeechMiner tab with new results and new CPU models</t>
  </si>
  <si>
    <t>Updated SpeechMiner tab when using new Elasticsearch for its index</t>
  </si>
  <si>
    <t>RHEL6</t>
  </si>
  <si>
    <t>Elasticsearch (per instance)</t>
  </si>
  <si>
    <t>Total RAM (GB)</t>
  </si>
  <si>
    <t>Configured heap size (GB)</t>
  </si>
  <si>
    <t>Elasticsearch used by RWS</t>
  </si>
  <si>
    <t>Updated SpeechMiner Elasticsearch content; separated RWS Elasticsearch from RWS as separate pages</t>
  </si>
  <si>
    <t>Number of replicas configured in Elasticsearch</t>
  </si>
  <si>
    <t>RAM (GB) per VM</t>
  </si>
  <si>
    <t>Retention period</t>
  </si>
  <si>
    <t>Total usage (per instance, allowing for replication)</t>
  </si>
  <si>
    <t>Total usage (all indexes, no replication)</t>
  </si>
  <si>
    <r>
      <t xml:space="preserve">CPU Model: </t>
    </r>
    <r>
      <rPr>
        <sz val="11"/>
        <color theme="1"/>
        <rFont val="Calibri"/>
        <family val="2"/>
        <scheme val="minor"/>
      </rPr>
      <t>Xeon Ivy Bridge family, 2.4 GHz, or better</t>
    </r>
  </si>
  <si>
    <t>CPU Model: Xeon Haswell family, 2.4 GHz, or better</t>
  </si>
  <si>
    <r>
      <rPr>
        <b/>
        <sz val="11"/>
        <color theme="1"/>
        <rFont val="Calibri"/>
        <family val="2"/>
        <scheme val="minor"/>
      </rPr>
      <t xml:space="preserve">CPU Model: </t>
    </r>
    <r>
      <rPr>
        <sz val="11"/>
        <color theme="1"/>
        <rFont val="Calibri"/>
        <family val="2"/>
        <scheme val="minor"/>
      </rPr>
      <t>Xeon Haswell family, 2.3 GHz, or better</t>
    </r>
  </si>
  <si>
    <r>
      <rPr>
        <b/>
        <sz val="11"/>
        <color theme="1"/>
        <rFont val="Calibri"/>
        <family val="2"/>
        <scheme val="minor"/>
      </rPr>
      <t xml:space="preserve">CPU Model: </t>
    </r>
    <r>
      <rPr>
        <sz val="11"/>
        <color theme="1"/>
        <rFont val="Calibri"/>
        <family val="2"/>
        <scheme val="minor"/>
      </rPr>
      <t>Xeon Ivy Bridge  family, 2.0 GHz, or better</t>
    </r>
  </si>
  <si>
    <t>Fixed Output Summary "Screen size required per day (GB)"; adjusted ES disk usage to reflect V2 schema; added CPU information used for testing</t>
  </si>
  <si>
    <t>Clarified that Speechminer Elasticsearch Data nodes must use SSD storage</t>
  </si>
  <si>
    <t>NOTE: Elasticsearch Data nodes must use SSD storage</t>
  </si>
  <si>
    <t>SpeechMiner Elasticsearch Master node</t>
  </si>
  <si>
    <t>SpeechMiner Elasticsearch Data node</t>
  </si>
  <si>
    <t>Number of SpeechMiner Elasticsearch shards per Data Node</t>
  </si>
  <si>
    <t>Number of recordings stored in SpeechMiner Elasticsearch per shard</t>
  </si>
  <si>
    <t>Number of Concurrent SpeechMiner users supported per server</t>
  </si>
  <si>
    <r>
      <rPr>
        <b/>
        <sz val="11"/>
        <color rgb="FFFF0000"/>
        <rFont val="Calibri (Body)"/>
      </rPr>
      <t xml:space="preserve">NOTE: Elasticsearch Data nodes must use SSD storage. </t>
    </r>
    <r>
      <rPr>
        <sz val="11"/>
        <color theme="1"/>
        <rFont val="Calibri"/>
        <family val="2"/>
        <scheme val="minor"/>
      </rPr>
      <t xml:space="preserve">In cases where there are less than 5 Elasticsearch Data nodes, you can put the Master nodes and the Data nodes on the same machine.  E.g. if you need 2 Data nodes, then you need two Data node machines and one Master node machine.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</si>
</sst>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
    <numFmt numFmtId="167" formatCode="0.000"/>
    <numFmt numFmtId="168" formatCode="_-* #,##0_-;\-* #,##0_-;_-* &quot;-&quot;??_-;_-@_-"/>
    <numFmt numFmtId="169" formatCode="0.0000000%"/>
    <numFmt numFmtId="170" formatCode="#,##0.0"/>
    <numFmt numFmtId="171" formatCode="&quot;$&quot;#,##0"/>
    <numFmt numFmtId="172" formatCode="_-* #,##0.##_-;\-* #,##0.##_-;_-* &quot;-&quot;??_-;_-@_-"/>
    <numFmt numFmtId="173" formatCode="#,##0.0_);[Red]\(#,##0.0\)"/>
  </numFmts>
  <fonts count="31">
    <font>
      <sz val="11"/>
      <color theme="1"/>
      <name val="Calibri"/>
      <family val="2"/>
      <scheme val="minor"/>
    </font>
    <font>
      <sz val="11"/>
      <color rgb="FF3F3F76"/>
      <name val="Calibri"/>
      <family val="2"/>
      <scheme val="minor"/>
    </font>
    <font>
      <b/>
      <sz val="11"/>
      <color rgb="FFFA7D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9"/>
      <color indexed="81"/>
      <name val="Tahoma"/>
      <family val="2"/>
    </font>
    <font>
      <b/>
      <sz val="9"/>
      <color indexed="81"/>
      <name val="Tahoma"/>
      <family val="2"/>
    </font>
    <font>
      <sz val="11"/>
      <color rgb="FF9C0006"/>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10"/>
      <name val="Arial"/>
      <family val="2"/>
    </font>
    <font>
      <b/>
      <sz val="12"/>
      <color indexed="9"/>
      <name val="Arial"/>
      <family val="2"/>
    </font>
    <font>
      <b/>
      <sz val="12"/>
      <name val="Arial"/>
      <family val="2"/>
    </font>
    <font>
      <b/>
      <sz val="11"/>
      <name val="Arial"/>
      <family val="2"/>
    </font>
    <font>
      <b/>
      <sz val="10"/>
      <name val="Arial"/>
      <family val="2"/>
    </font>
    <font>
      <sz val="12"/>
      <name val="Wingdings 2"/>
      <family val="1"/>
      <charset val="2"/>
    </font>
    <font>
      <sz val="11"/>
      <color rgb="FF000000"/>
      <name val="Calibri"/>
      <family val="2"/>
      <scheme val="minor"/>
    </font>
    <font>
      <sz val="12"/>
      <name val="Calibri"/>
      <family val="2"/>
      <scheme val="minor"/>
    </font>
    <font>
      <sz val="14"/>
      <color theme="1"/>
      <name val="Calibri"/>
      <family val="2"/>
      <scheme val="minor"/>
    </font>
    <font>
      <b/>
      <sz val="14"/>
      <color theme="1"/>
      <name val="Calibri"/>
      <family val="2"/>
      <scheme val="minor"/>
    </font>
    <font>
      <sz val="8"/>
      <name val="Calibri"/>
      <family val="2"/>
      <scheme val="minor"/>
    </font>
    <font>
      <b/>
      <sz val="11"/>
      <color rgb="FF3F3F76"/>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sz val="10"/>
      <color rgb="FF000000"/>
      <name val="Calibri"/>
      <family val="2"/>
    </font>
    <font>
      <b/>
      <sz val="11"/>
      <color rgb="FFFF0000"/>
      <name val="Calibri (Body)"/>
    </font>
    <font>
      <sz val="11"/>
      <color rgb="FFFF0000"/>
      <name val="Calibri"/>
      <family val="2"/>
      <scheme val="minor"/>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rgb="FFC6EFCE"/>
      </patternFill>
    </fill>
    <fill>
      <patternFill patternType="solid">
        <fgColor theme="5" tint="0.39997558519241921"/>
        <bgColor indexed="64"/>
      </patternFill>
    </fill>
    <fill>
      <patternFill patternType="solid">
        <fgColor rgb="FFFFC7CE"/>
      </patternFill>
    </fill>
    <fill>
      <patternFill patternType="solid">
        <fgColor rgb="FFFFCC99"/>
        <bgColor rgb="FF000000"/>
      </patternFill>
    </fill>
    <fill>
      <patternFill patternType="solid">
        <fgColor theme="0" tint="-0.499984740745262"/>
        <bgColor indexed="64"/>
      </patternFill>
    </fill>
    <fill>
      <patternFill patternType="solid">
        <fgColor indexed="9"/>
        <bgColor indexed="64"/>
      </patternFill>
    </fill>
    <fill>
      <patternFill patternType="solid">
        <fgColor theme="0" tint="-0.14999847407452621"/>
        <bgColor indexed="64"/>
      </patternFill>
    </fill>
    <fill>
      <patternFill patternType="solid">
        <fgColor theme="2"/>
        <bgColor indexed="64"/>
      </patternFill>
    </fill>
    <fill>
      <patternFill patternType="solid">
        <fgColor rgb="FFDBE5F1"/>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theme="0"/>
        <bgColor indexed="64"/>
      </patternFill>
    </fill>
  </fills>
  <borders count="81">
    <border>
      <left/>
      <right/>
      <top/>
      <bottom/>
      <diagonal/>
    </border>
    <border>
      <left style="thin">
        <color rgb="FF7F7F7F"/>
      </left>
      <right style="thin">
        <color rgb="FF7F7F7F"/>
      </right>
      <top style="thin">
        <color rgb="FF7F7F7F"/>
      </top>
      <bottom style="thin">
        <color rgb="FF7F7F7F"/>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
      <left style="thin">
        <color rgb="FF7F7F7F"/>
      </left>
      <right style="thin">
        <color auto="1"/>
      </right>
      <top style="thin">
        <color rgb="FF7F7F7F"/>
      </top>
      <bottom style="thin">
        <color rgb="FF7F7F7F"/>
      </bottom>
      <diagonal/>
    </border>
    <border>
      <left style="thin">
        <color rgb="FF7F7F7F"/>
      </left>
      <right style="thin">
        <color auto="1"/>
      </right>
      <top style="thin">
        <color rgb="FF7F7F7F"/>
      </top>
      <bottom style="thin">
        <color auto="1"/>
      </bottom>
      <diagonal/>
    </border>
    <border>
      <left style="thin">
        <color auto="1"/>
      </left>
      <right/>
      <top style="thin">
        <color auto="1"/>
      </top>
      <bottom style="thin">
        <color auto="1"/>
      </bottom>
      <diagonal/>
    </border>
    <border>
      <left style="thin">
        <color rgb="FF7F7F7F"/>
      </left>
      <right style="thin">
        <color auto="1"/>
      </right>
      <top style="thin">
        <color auto="1"/>
      </top>
      <bottom style="thin">
        <color auto="1"/>
      </bottom>
      <diagonal/>
    </border>
    <border>
      <left style="thin">
        <color rgb="FF7F7F7F"/>
      </left>
      <right/>
      <top style="thin">
        <color rgb="FF7F7F7F"/>
      </top>
      <bottom style="thin">
        <color rgb="FF7F7F7F"/>
      </bottom>
      <diagonal/>
    </border>
    <border>
      <left/>
      <right/>
      <top style="thin">
        <color auto="1"/>
      </top>
      <bottom style="double">
        <color auto="1"/>
      </bottom>
      <diagonal/>
    </border>
    <border>
      <left/>
      <right style="thin">
        <color auto="1"/>
      </right>
      <top style="thin">
        <color auto="1"/>
      </top>
      <bottom style="thin">
        <color auto="1"/>
      </bottom>
      <diagonal/>
    </border>
    <border>
      <left style="thin">
        <color rgb="FF7F7F7F"/>
      </left>
      <right style="thin">
        <color rgb="FF7F7F7F"/>
      </right>
      <top/>
      <bottom style="thin">
        <color auto="1"/>
      </bottom>
      <diagonal/>
    </border>
    <border>
      <left style="thin">
        <color auto="1"/>
      </left>
      <right style="thin">
        <color auto="1"/>
      </right>
      <top style="thin">
        <color auto="1"/>
      </top>
      <bottom style="thin">
        <color auto="1"/>
      </bottom>
      <diagonal/>
    </border>
    <border>
      <left style="thick">
        <color theme="0" tint="-0.14996795556505021"/>
      </left>
      <right/>
      <top style="thick">
        <color theme="0" tint="-0.14996795556505021"/>
      </top>
      <bottom style="medium">
        <color theme="0" tint="-4.9989318521683403E-2"/>
      </bottom>
      <diagonal/>
    </border>
    <border>
      <left/>
      <right/>
      <top style="thick">
        <color theme="0" tint="-0.14996795556505021"/>
      </top>
      <bottom style="medium">
        <color theme="0" tint="-4.9989318521683403E-2"/>
      </bottom>
      <diagonal/>
    </border>
    <border>
      <left/>
      <right style="thick">
        <color theme="0" tint="-0.14996795556505021"/>
      </right>
      <top style="thick">
        <color theme="0" tint="-0.14996795556505021"/>
      </top>
      <bottom style="medium">
        <color theme="0" tint="-4.9989318521683403E-2"/>
      </bottom>
      <diagonal/>
    </border>
    <border>
      <left style="thick">
        <color theme="0" tint="-0.14996795556505021"/>
      </left>
      <right style="medium">
        <color theme="0" tint="-4.9989318521683403E-2"/>
      </right>
      <top style="medium">
        <color theme="0" tint="-4.9989318521683403E-2"/>
      </top>
      <bottom style="medium">
        <color theme="0" tint="-4.9989318521683403E-2"/>
      </bottom>
      <diagonal/>
    </border>
    <border>
      <left style="thick">
        <color theme="0" tint="-0.14996795556505021"/>
      </left>
      <right style="medium">
        <color theme="0" tint="-4.9989318521683403E-2"/>
      </right>
      <top style="medium">
        <color theme="0" tint="-4.9989318521683403E-2"/>
      </top>
      <bottom style="thick">
        <color theme="0" tint="-0.14993743705557422"/>
      </bottom>
      <diagonal/>
    </border>
    <border>
      <left style="medium">
        <color theme="0" tint="-4.9989318521683403E-2"/>
      </left>
      <right style="medium">
        <color theme="0" tint="-4.9989318521683403E-2"/>
      </right>
      <top style="medium">
        <color theme="0" tint="-4.9989318521683403E-2"/>
      </top>
      <bottom style="thick">
        <color theme="0" tint="-0.14993743705557422"/>
      </bottom>
      <diagonal/>
    </border>
    <border>
      <left style="medium">
        <color theme="0" tint="-4.9989318521683403E-2"/>
      </left>
      <right style="thick">
        <color theme="0" tint="-0.14996795556505021"/>
      </right>
      <top style="medium">
        <color theme="0" tint="-4.9989318521683403E-2"/>
      </top>
      <bottom style="thick">
        <color theme="0" tint="-0.14993743705557422"/>
      </bottom>
      <diagonal/>
    </border>
    <border>
      <left style="thin">
        <color theme="0" tint="-0.14993743705557422"/>
      </left>
      <right style="thin">
        <color theme="0" tint="-0.14993743705557422"/>
      </right>
      <top style="thick">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ck">
        <color theme="0" tint="-0.14996795556505021"/>
      </right>
      <top style="thin">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ck">
        <color theme="0" tint="-0.14996795556505021"/>
      </bottom>
      <diagonal/>
    </border>
    <border>
      <left style="thin">
        <color theme="0" tint="-0.14993743705557422"/>
      </left>
      <right style="thin">
        <color theme="0" tint="-0.14993743705557422"/>
      </right>
      <top style="thin">
        <color theme="0" tint="-0.14993743705557422"/>
      </top>
      <bottom style="thick">
        <color theme="0" tint="-0.14996795556505021"/>
      </bottom>
      <diagonal/>
    </border>
    <border>
      <left style="thin">
        <color theme="0" tint="-0.14993743705557422"/>
      </left>
      <right style="thick">
        <color theme="0" tint="-0.14996795556505021"/>
      </right>
      <top style="thin">
        <color theme="0" tint="-0.14993743705557422"/>
      </top>
      <bottom style="thick">
        <color theme="0" tint="-0.14996795556505021"/>
      </bottom>
      <diagonal/>
    </border>
    <border>
      <left style="thick">
        <color theme="0" tint="-0.14996795556505021"/>
      </left>
      <right style="thin">
        <color theme="0" tint="-0.14993743705557422"/>
      </right>
      <top style="medium">
        <color theme="0" tint="-4.9989318521683403E-2"/>
      </top>
      <bottom style="medium">
        <color theme="0" tint="-4.9989318521683403E-2"/>
      </bottom>
      <diagonal/>
    </border>
    <border>
      <left/>
      <right style="thick">
        <color theme="0" tint="-0.14993743705557422"/>
      </right>
      <top style="medium">
        <color theme="0" tint="-4.9989318521683403E-2"/>
      </top>
      <bottom style="medium">
        <color theme="0" tint="-4.9989318521683403E-2"/>
      </bottom>
      <diagonal/>
    </border>
    <border>
      <left style="thick">
        <color theme="0" tint="-0.14996795556505021"/>
      </left>
      <right style="thin">
        <color theme="0" tint="-0.14993743705557422"/>
      </right>
      <top style="medium">
        <color theme="0" tint="-4.9989318521683403E-2"/>
      </top>
      <bottom style="thick">
        <color theme="0" tint="-0.14993743705557422"/>
      </bottom>
      <diagonal/>
    </border>
    <border>
      <left/>
      <right/>
      <top style="medium">
        <color theme="0" tint="-4.9989318521683403E-2"/>
      </top>
      <bottom style="medium">
        <color theme="0" tint="-4.9989318521683403E-2"/>
      </bottom>
      <diagonal/>
    </border>
    <border>
      <left/>
      <right/>
      <top style="medium">
        <color theme="0" tint="-4.9989318521683403E-2"/>
      </top>
      <bottom style="thick">
        <color theme="0" tint="-0.14993743705557422"/>
      </bottom>
      <diagonal/>
    </border>
    <border>
      <left style="thick">
        <color theme="0" tint="-0.14996795556505021"/>
      </left>
      <right style="thin">
        <color theme="0" tint="-0.14993743705557422"/>
      </right>
      <top/>
      <bottom style="medium">
        <color theme="0" tint="-4.9989318521683403E-2"/>
      </bottom>
      <diagonal/>
    </border>
    <border>
      <left/>
      <right/>
      <top/>
      <bottom style="medium">
        <color theme="0" tint="-4.9989318521683403E-2"/>
      </bottom>
      <diagonal/>
    </border>
    <border>
      <left style="thick">
        <color theme="0" tint="-0.14996795556505021"/>
      </left>
      <right/>
      <top style="medium">
        <color theme="0" tint="-4.9989318521683403E-2"/>
      </top>
      <bottom/>
      <diagonal/>
    </border>
    <border>
      <left/>
      <right/>
      <top style="medium">
        <color theme="0" tint="-4.9989318521683403E-2"/>
      </top>
      <bottom/>
      <diagonal/>
    </border>
    <border>
      <left style="thin">
        <color theme="0" tint="-0.14993743705557422"/>
      </left>
      <right style="thin">
        <color theme="0" tint="-0.14993743705557422"/>
      </right>
      <top style="thick">
        <color theme="0" tint="-0.14993743705557422"/>
      </top>
      <bottom/>
      <diagonal/>
    </border>
    <border>
      <left style="thin">
        <color theme="0" tint="-0.14993743705557422"/>
      </left>
      <right style="thick">
        <color theme="0" tint="-0.14996795556505021"/>
      </right>
      <top style="thin">
        <color theme="0" tint="-0.14990691854609822"/>
      </top>
      <bottom style="thin">
        <color theme="0" tint="-0.14993743705557422"/>
      </bottom>
      <diagonal/>
    </border>
    <border>
      <left style="thin">
        <color theme="0" tint="-0.14993743705557422"/>
      </left>
      <right style="thick">
        <color theme="0" tint="-0.14996795556505021"/>
      </right>
      <top style="thick">
        <color theme="0" tint="-0.14993743705557422"/>
      </top>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ck">
        <color theme="0" tint="-0.14996795556505021"/>
      </left>
      <right style="thin">
        <color theme="0" tint="-0.14993743705557422"/>
      </right>
      <top/>
      <bottom style="thin">
        <color theme="0" tint="-0.14993743705557422"/>
      </bottom>
      <diagonal/>
    </border>
    <border>
      <left style="thick">
        <color theme="0" tint="-0.14996795556505021"/>
      </left>
      <right style="thin">
        <color theme="0" tint="-0.14993743705557422"/>
      </right>
      <top style="thick">
        <color theme="0" tint="-0.14993743705557422"/>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theme="0" tint="-0.14990691854609822"/>
      </right>
      <top/>
      <bottom style="medium">
        <color theme="0" tint="-4.9989318521683403E-2"/>
      </bottom>
      <diagonal/>
    </border>
    <border>
      <left/>
      <right style="thick">
        <color theme="0" tint="-0.14990691854609822"/>
      </right>
      <top style="medium">
        <color theme="0" tint="-4.9989318521683403E-2"/>
      </top>
      <bottom style="medium">
        <color theme="0" tint="-4.9989318521683403E-2"/>
      </bottom>
      <diagonal/>
    </border>
    <border>
      <left/>
      <right style="thick">
        <color theme="0" tint="-0.14990691854609822"/>
      </right>
      <top style="medium">
        <color theme="0" tint="-4.9989318521683403E-2"/>
      </top>
      <bottom style="thick">
        <color theme="0" tint="-0.1498764000366222"/>
      </bottom>
      <diagonal/>
    </border>
    <border>
      <left style="medium">
        <color theme="0" tint="-4.9989318521683403E-2"/>
      </left>
      <right/>
      <top style="medium">
        <color theme="0" tint="-4.9989318521683403E-2"/>
      </top>
      <bottom style="medium">
        <color theme="0" tint="-4.9989318521683403E-2"/>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theme="0" tint="-0.499984740745262"/>
      </left>
      <right style="thick">
        <color auto="1"/>
      </right>
      <top style="thin">
        <color theme="0" tint="-0.499984740745262"/>
      </top>
      <bottom style="thin">
        <color theme="0" tint="-0.499984740745262"/>
      </bottom>
      <diagonal/>
    </border>
    <border>
      <left style="thin">
        <color theme="0" tint="-0.499984740745262"/>
      </left>
      <right style="thick">
        <color auto="1"/>
      </right>
      <top style="thick">
        <color auto="1"/>
      </top>
      <bottom style="thin">
        <color theme="0" tint="-0.499984740745262"/>
      </bottom>
      <diagonal/>
    </border>
    <border>
      <left style="thin">
        <color theme="0" tint="-0.499984740745262"/>
      </left>
      <right style="thick">
        <color auto="1"/>
      </right>
      <top style="thin">
        <color theme="0" tint="-0.499984740745262"/>
      </top>
      <bottom style="thick">
        <color auto="1"/>
      </bottom>
      <diagonal/>
    </border>
    <border>
      <left/>
      <right/>
      <top style="medium">
        <color auto="1"/>
      </top>
      <bottom style="medium">
        <color indexed="64"/>
      </bottom>
      <diagonal/>
    </border>
  </borders>
  <cellStyleXfs count="41">
    <xf numFmtId="0" fontId="0" fillId="0" borderId="0"/>
    <xf numFmtId="0" fontId="1" fillId="2" borderId="1" applyNumberFormat="0" applyAlignment="0" applyProtection="0"/>
    <xf numFmtId="0" fontId="2" fillId="3" borderId="1" applyNumberFormat="0" applyAlignment="0" applyProtection="0"/>
    <xf numFmtId="9" fontId="3" fillId="0" borderId="0" applyFont="0" applyFill="0" applyBorder="0" applyAlignment="0" applyProtection="0"/>
    <xf numFmtId="0" fontId="3" fillId="4" borderId="0" applyNumberFormat="0" applyBorder="0" applyAlignment="0" applyProtection="0"/>
    <xf numFmtId="164" fontId="3" fillId="0" borderId="0" applyFont="0" applyFill="0" applyBorder="0" applyAlignment="0" applyProtection="0"/>
    <xf numFmtId="0" fontId="4" fillId="5" borderId="0" applyNumberFormat="0" applyBorder="0" applyAlignment="0" applyProtection="0"/>
    <xf numFmtId="0" fontId="8" fillId="7"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2" fillId="0" borderId="0"/>
    <xf numFmtId="44"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0" fontId="3" fillId="16" borderId="0" applyNumberFormat="0" applyBorder="0" applyAlignment="0" applyProtection="0"/>
  </cellStyleXfs>
  <cellXfs count="307">
    <xf numFmtId="0" fontId="0" fillId="0" borderId="0" xfId="0"/>
    <xf numFmtId="0" fontId="1" fillId="2" borderId="1" xfId="1"/>
    <xf numFmtId="1" fontId="1" fillId="2" borderId="1" xfId="1" applyNumberFormat="1"/>
    <xf numFmtId="9" fontId="0" fillId="0" borderId="0" xfId="0" applyNumberFormat="1"/>
    <xf numFmtId="0" fontId="2" fillId="3" borderId="1" xfId="2"/>
    <xf numFmtId="0" fontId="3" fillId="4" borderId="0" xfId="4"/>
    <xf numFmtId="0" fontId="1" fillId="2" borderId="1" xfId="1" applyNumberFormat="1"/>
    <xf numFmtId="0" fontId="0" fillId="0" borderId="0" xfId="0" applyAlignment="1">
      <alignment horizontal="right"/>
    </xf>
    <xf numFmtId="0" fontId="3" fillId="4" borderId="0" xfId="4" applyAlignment="1">
      <alignment horizontal="right"/>
    </xf>
    <xf numFmtId="0" fontId="3" fillId="4" borderId="0" xfId="4" applyBorder="1"/>
    <xf numFmtId="0" fontId="0" fillId="4" borderId="0" xfId="4" applyFont="1" applyBorder="1"/>
    <xf numFmtId="2" fontId="1" fillId="2" borderId="1" xfId="1" applyNumberFormat="1"/>
    <xf numFmtId="167" fontId="3" fillId="4" borderId="0" xfId="4" applyNumberFormat="1"/>
    <xf numFmtId="0" fontId="0" fillId="4" borderId="0" xfId="4" applyFont="1"/>
    <xf numFmtId="0" fontId="0" fillId="0" borderId="0" xfId="0" applyFill="1"/>
    <xf numFmtId="0" fontId="3" fillId="6" borderId="0" xfId="4" applyFill="1"/>
    <xf numFmtId="0" fontId="3" fillId="4" borderId="3" xfId="4" applyBorder="1"/>
    <xf numFmtId="0" fontId="3" fillId="4" borderId="4" xfId="4" applyBorder="1"/>
    <xf numFmtId="0" fontId="3" fillId="4" borderId="5" xfId="4" applyBorder="1"/>
    <xf numFmtId="0" fontId="3" fillId="4" borderId="6" xfId="4" applyBorder="1"/>
    <xf numFmtId="0" fontId="3" fillId="4" borderId="7" xfId="4" applyBorder="1"/>
    <xf numFmtId="2" fontId="3" fillId="4" borderId="0" xfId="4" applyNumberFormat="1" applyBorder="1"/>
    <xf numFmtId="166" fontId="3" fillId="4" borderId="0" xfId="4" applyNumberFormat="1" applyBorder="1"/>
    <xf numFmtId="166" fontId="3" fillId="4" borderId="7" xfId="4" applyNumberFormat="1" applyBorder="1"/>
    <xf numFmtId="0" fontId="0" fillId="4" borderId="6" xfId="4" applyFont="1" applyBorder="1"/>
    <xf numFmtId="0" fontId="0" fillId="4" borderId="8" xfId="4" applyFont="1" applyBorder="1"/>
    <xf numFmtId="2" fontId="3" fillId="4" borderId="9" xfId="4" applyNumberFormat="1" applyBorder="1"/>
    <xf numFmtId="0" fontId="3" fillId="4" borderId="9" xfId="4" applyBorder="1"/>
    <xf numFmtId="0" fontId="3" fillId="4" borderId="10" xfId="4" applyBorder="1"/>
    <xf numFmtId="167" fontId="3" fillId="4" borderId="7" xfId="4" applyNumberFormat="1" applyBorder="1"/>
    <xf numFmtId="0" fontId="3" fillId="4" borderId="8" xfId="4" applyBorder="1"/>
    <xf numFmtId="167" fontId="3" fillId="4" borderId="10" xfId="4" applyNumberFormat="1" applyBorder="1"/>
    <xf numFmtId="0" fontId="3" fillId="4" borderId="5" xfId="4" applyBorder="1" applyAlignment="1">
      <alignment horizontal="right"/>
    </xf>
    <xf numFmtId="0" fontId="3" fillId="4" borderId="7" xfId="4" applyBorder="1" applyAlignment="1">
      <alignment horizontal="right"/>
    </xf>
    <xf numFmtId="0" fontId="0" fillId="4" borderId="7" xfId="4" applyFont="1" applyBorder="1" applyAlignment="1">
      <alignment horizontal="right"/>
    </xf>
    <xf numFmtId="0" fontId="3" fillId="4" borderId="10" xfId="4" applyBorder="1" applyAlignment="1">
      <alignment horizontal="right"/>
    </xf>
    <xf numFmtId="2" fontId="1" fillId="2" borderId="11" xfId="1" applyNumberFormat="1" applyBorder="1"/>
    <xf numFmtId="0" fontId="0" fillId="0" borderId="3" xfId="0" applyBorder="1"/>
    <xf numFmtId="0" fontId="0" fillId="0" borderId="4" xfId="0" applyBorder="1"/>
    <xf numFmtId="0" fontId="0" fillId="0" borderId="5" xfId="0" applyBorder="1"/>
    <xf numFmtId="0" fontId="0" fillId="0" borderId="8" xfId="0" applyBorder="1"/>
    <xf numFmtId="10" fontId="2" fillId="3" borderId="12" xfId="2" applyNumberFormat="1" applyBorder="1"/>
    <xf numFmtId="0" fontId="0" fillId="0" borderId="6" xfId="0" applyBorder="1"/>
    <xf numFmtId="0" fontId="0" fillId="6" borderId="10" xfId="0" applyFill="1" applyBorder="1"/>
    <xf numFmtId="0" fontId="0" fillId="0" borderId="0" xfId="0" applyBorder="1"/>
    <xf numFmtId="168" fontId="1" fillId="2" borderId="1" xfId="5" applyNumberFormat="1"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1" fontId="2" fillId="3" borderId="0" xfId="2" applyNumberFormat="1" applyBorder="1"/>
    <xf numFmtId="0" fontId="5" fillId="0" borderId="13" xfId="0" applyFont="1" applyBorder="1"/>
    <xf numFmtId="0" fontId="1" fillId="2" borderId="20" xfId="1" applyBorder="1"/>
    <xf numFmtId="0" fontId="0" fillId="0" borderId="7" xfId="0" applyBorder="1"/>
    <xf numFmtId="2" fontId="4" fillId="5" borderId="10" xfId="6" applyNumberFormat="1" applyBorder="1"/>
    <xf numFmtId="9" fontId="1" fillId="2" borderId="20" xfId="1" applyNumberFormat="1" applyBorder="1"/>
    <xf numFmtId="1" fontId="4" fillId="5" borderId="20" xfId="6" applyNumberFormat="1" applyBorder="1"/>
    <xf numFmtId="166" fontId="1" fillId="2" borderId="20" xfId="1" applyNumberFormat="1" applyBorder="1"/>
    <xf numFmtId="0" fontId="0" fillId="0" borderId="6" xfId="0" applyBorder="1" applyAlignment="1">
      <alignment wrapText="1"/>
    </xf>
    <xf numFmtId="2" fontId="4" fillId="5" borderId="20" xfId="6" applyNumberFormat="1" applyBorder="1"/>
    <xf numFmtId="1" fontId="1" fillId="2" borderId="20" xfId="1" applyNumberFormat="1" applyBorder="1"/>
    <xf numFmtId="9" fontId="1" fillId="2" borderId="20" xfId="3" applyFont="1" applyFill="1" applyBorder="1"/>
    <xf numFmtId="1" fontId="1" fillId="2" borderId="21" xfId="1" applyNumberFormat="1" applyBorder="1"/>
    <xf numFmtId="9" fontId="0" fillId="0" borderId="5" xfId="0" applyNumberFormat="1" applyBorder="1"/>
    <xf numFmtId="0" fontId="0" fillId="0" borderId="8" xfId="0" applyBorder="1" applyAlignment="1">
      <alignment wrapText="1"/>
    </xf>
    <xf numFmtId="0" fontId="1" fillId="2" borderId="21" xfId="1" applyBorder="1"/>
    <xf numFmtId="0" fontId="0" fillId="0" borderId="6" xfId="0" applyFill="1" applyBorder="1"/>
    <xf numFmtId="9" fontId="1" fillId="2" borderId="21" xfId="3" applyFont="1" applyFill="1" applyBorder="1"/>
    <xf numFmtId="0" fontId="0" fillId="0" borderId="0" xfId="0" applyFill="1" applyBorder="1"/>
    <xf numFmtId="0" fontId="5" fillId="0" borderId="3" xfId="0" applyFont="1" applyBorder="1"/>
    <xf numFmtId="0" fontId="0" fillId="0" borderId="22" xfId="0" applyBorder="1"/>
    <xf numFmtId="0" fontId="1" fillId="2" borderId="23" xfId="1" applyBorder="1"/>
    <xf numFmtId="2" fontId="4" fillId="5" borderId="7" xfId="6" applyNumberFormat="1" applyBorder="1"/>
    <xf numFmtId="1" fontId="4" fillId="5" borderId="7" xfId="6" applyNumberFormat="1" applyBorder="1"/>
    <xf numFmtId="0" fontId="2" fillId="3" borderId="1" xfId="2" applyBorder="1"/>
    <xf numFmtId="1" fontId="2" fillId="3" borderId="1" xfId="2" applyNumberFormat="1" applyBorder="1"/>
    <xf numFmtId="1" fontId="4" fillId="5" borderId="12" xfId="6" applyNumberFormat="1" applyBorder="1"/>
    <xf numFmtId="0" fontId="4" fillId="5" borderId="10" xfId="6" applyBorder="1" applyAlignment="1">
      <alignment horizontal="right"/>
    </xf>
    <xf numFmtId="1" fontId="4" fillId="5" borderId="11" xfId="6" applyNumberFormat="1" applyBorder="1"/>
    <xf numFmtId="1" fontId="4" fillId="5" borderId="0" xfId="6" applyNumberFormat="1"/>
    <xf numFmtId="1" fontId="4" fillId="5" borderId="0" xfId="6" applyNumberFormat="1" applyBorder="1"/>
    <xf numFmtId="1" fontId="4" fillId="5" borderId="9" xfId="6" applyNumberFormat="1" applyBorder="1"/>
    <xf numFmtId="2" fontId="2" fillId="3" borderId="1" xfId="2" applyNumberFormat="1"/>
    <xf numFmtId="0" fontId="0" fillId="0" borderId="5" xfId="0" applyBorder="1" applyAlignment="1">
      <alignment horizontal="right"/>
    </xf>
    <xf numFmtId="0" fontId="0" fillId="0" borderId="7" xfId="0" applyBorder="1" applyAlignment="1">
      <alignment horizontal="right"/>
    </xf>
    <xf numFmtId="0" fontId="3" fillId="4" borderId="21" xfId="4" applyBorder="1"/>
    <xf numFmtId="0" fontId="0" fillId="0" borderId="0" xfId="0" applyBorder="1" applyAlignment="1">
      <alignment horizontal="right"/>
    </xf>
    <xf numFmtId="0" fontId="0" fillId="0" borderId="8" xfId="0" applyFill="1" applyBorder="1"/>
    <xf numFmtId="0" fontId="4" fillId="5" borderId="0" xfId="6"/>
    <xf numFmtId="10" fontId="3" fillId="4" borderId="0" xfId="4" applyNumberFormat="1"/>
    <xf numFmtId="10" fontId="4" fillId="5" borderId="1" xfId="6" applyNumberFormat="1" applyBorder="1"/>
    <xf numFmtId="164" fontId="4" fillId="5" borderId="0" xfId="6" applyNumberFormat="1"/>
    <xf numFmtId="2" fontId="4" fillId="5" borderId="24" xfId="6" applyNumberFormat="1" applyBorder="1"/>
    <xf numFmtId="168" fontId="0" fillId="0" borderId="0" xfId="5" applyNumberFormat="1" applyFont="1"/>
    <xf numFmtId="168" fontId="1" fillId="2" borderId="1" xfId="1" applyNumberFormat="1"/>
    <xf numFmtId="10" fontId="4" fillId="5" borderId="25" xfId="6" applyNumberFormat="1" applyBorder="1"/>
    <xf numFmtId="164" fontId="4" fillId="5" borderId="25" xfId="6" applyNumberFormat="1" applyBorder="1"/>
    <xf numFmtId="0" fontId="4" fillId="5" borderId="18" xfId="6" applyBorder="1"/>
    <xf numFmtId="1" fontId="4" fillId="5" borderId="19" xfId="6" applyNumberFormat="1" applyBorder="1"/>
    <xf numFmtId="0" fontId="4" fillId="5" borderId="2" xfId="6" applyBorder="1" applyAlignment="1">
      <alignment horizontal="right"/>
    </xf>
    <xf numFmtId="0" fontId="4" fillId="5" borderId="9" xfId="6" applyBorder="1"/>
    <xf numFmtId="2" fontId="4" fillId="5" borderId="9" xfId="6" applyNumberFormat="1" applyBorder="1"/>
    <xf numFmtId="0" fontId="8" fillId="7" borderId="9" xfId="7" applyBorder="1"/>
    <xf numFmtId="10" fontId="4" fillId="5" borderId="9" xfId="6" applyNumberFormat="1" applyBorder="1"/>
    <xf numFmtId="164" fontId="4" fillId="5" borderId="10" xfId="6" applyNumberFormat="1" applyBorder="1"/>
    <xf numFmtId="0" fontId="2" fillId="3" borderId="20" xfId="2" applyBorder="1"/>
    <xf numFmtId="1" fontId="2" fillId="3" borderId="20" xfId="2" applyNumberFormat="1" applyBorder="1"/>
    <xf numFmtId="1" fontId="4" fillId="5" borderId="10" xfId="6" applyNumberFormat="1" applyBorder="1"/>
    <xf numFmtId="1" fontId="2" fillId="3" borderId="7" xfId="2" applyNumberFormat="1" applyBorder="1"/>
    <xf numFmtId="0" fontId="3" fillId="4" borderId="0" xfId="4" applyNumberFormat="1"/>
    <xf numFmtId="9" fontId="8" fillId="7" borderId="0" xfId="3" applyFont="1" applyFill="1" applyBorder="1" applyAlignment="1">
      <alignment horizontal="right"/>
    </xf>
    <xf numFmtId="0" fontId="5" fillId="0" borderId="0" xfId="0" applyFont="1"/>
    <xf numFmtId="0" fontId="1" fillId="2" borderId="7" xfId="1" applyBorder="1"/>
    <xf numFmtId="0" fontId="0" fillId="0" borderId="0" xfId="0" applyAlignment="1">
      <alignment horizontal="center"/>
    </xf>
    <xf numFmtId="0" fontId="5" fillId="0" borderId="22" xfId="0" applyFont="1" applyBorder="1"/>
    <xf numFmtId="0" fontId="0" fillId="0" borderId="26" xfId="0" applyBorder="1" applyAlignment="1">
      <alignment horizontal="center"/>
    </xf>
    <xf numFmtId="1" fontId="0" fillId="0" borderId="0" xfId="0" applyNumberFormat="1"/>
    <xf numFmtId="0" fontId="0" fillId="0" borderId="19" xfId="0" applyBorder="1"/>
    <xf numFmtId="1" fontId="3" fillId="4" borderId="0" xfId="4" applyNumberFormat="1"/>
    <xf numFmtId="2" fontId="0" fillId="0" borderId="0" xfId="5" applyNumberFormat="1" applyFont="1"/>
    <xf numFmtId="0" fontId="11" fillId="0" borderId="0" xfId="0" applyFont="1"/>
    <xf numFmtId="169" fontId="0" fillId="0" borderId="0" xfId="0" applyNumberFormat="1"/>
    <xf numFmtId="0" fontId="4" fillId="5" borderId="20" xfId="6" applyBorder="1"/>
    <xf numFmtId="0" fontId="2" fillId="3" borderId="0" xfId="2" applyBorder="1"/>
    <xf numFmtId="9" fontId="2" fillId="3" borderId="0" xfId="2" applyNumberFormat="1" applyBorder="1"/>
    <xf numFmtId="0" fontId="2" fillId="3" borderId="0" xfId="2" applyNumberFormat="1" applyBorder="1"/>
    <xf numFmtId="0" fontId="4" fillId="5" borderId="7" xfId="6" applyBorder="1" applyAlignment="1">
      <alignment horizontal="right"/>
    </xf>
    <xf numFmtId="2" fontId="0" fillId="0" borderId="0" xfId="0" applyNumberFormat="1"/>
    <xf numFmtId="10" fontId="0" fillId="0" borderId="0" xfId="0" applyNumberFormat="1"/>
    <xf numFmtId="2" fontId="1" fillId="8" borderId="1" xfId="0" applyNumberFormat="1" applyFont="1" applyFill="1" applyBorder="1"/>
    <xf numFmtId="10" fontId="8" fillId="7" borderId="27" xfId="7" applyNumberFormat="1" applyBorder="1"/>
    <xf numFmtId="0" fontId="0" fillId="0" borderId="28" xfId="0" applyBorder="1"/>
    <xf numFmtId="0" fontId="0" fillId="0" borderId="28" xfId="0" applyFill="1" applyBorder="1"/>
    <xf numFmtId="9" fontId="3" fillId="4" borderId="0" xfId="3" applyFill="1"/>
    <xf numFmtId="0" fontId="4" fillId="5" borderId="10" xfId="6" applyBorder="1"/>
    <xf numFmtId="0" fontId="1" fillId="2" borderId="10" xfId="1" applyBorder="1"/>
    <xf numFmtId="0" fontId="5" fillId="0" borderId="6" xfId="0" applyFont="1" applyBorder="1"/>
    <xf numFmtId="0" fontId="0" fillId="0" borderId="6" xfId="0" applyFont="1" applyBorder="1"/>
    <xf numFmtId="0" fontId="0" fillId="0" borderId="0" xfId="0" applyAlignment="1"/>
    <xf numFmtId="9" fontId="4" fillId="5" borderId="1" xfId="3" applyFont="1" applyFill="1" applyBorder="1"/>
    <xf numFmtId="0" fontId="3" fillId="4" borderId="28" xfId="4" applyBorder="1"/>
    <xf numFmtId="0" fontId="3" fillId="4" borderId="28" xfId="4" applyBorder="1" applyAlignment="1">
      <alignment wrapText="1"/>
    </xf>
    <xf numFmtId="168" fontId="4" fillId="5" borderId="1" xfId="6" applyNumberFormat="1" applyBorder="1"/>
    <xf numFmtId="0" fontId="0" fillId="0" borderId="15" xfId="0" applyBorder="1" applyAlignment="1">
      <alignment wrapText="1"/>
    </xf>
    <xf numFmtId="0" fontId="0" fillId="0" borderId="15" xfId="0" applyFill="1" applyBorder="1"/>
    <xf numFmtId="0" fontId="0" fillId="0" borderId="16" xfId="0" applyFill="1" applyBorder="1"/>
    <xf numFmtId="0" fontId="0" fillId="0" borderId="5" xfId="0" applyBorder="1" applyAlignment="1">
      <alignment horizontal="left" indent="1"/>
    </xf>
    <xf numFmtId="0" fontId="0" fillId="0" borderId="0" xfId="0" applyAlignment="1">
      <alignment horizontal="left" indent="1"/>
    </xf>
    <xf numFmtId="0" fontId="0" fillId="0" borderId="4" xfId="0" applyBorder="1" applyAlignment="1">
      <alignment horizontal="center"/>
    </xf>
    <xf numFmtId="0" fontId="0" fillId="0" borderId="5" xfId="0" applyFill="1" applyBorder="1" applyAlignment="1">
      <alignment horizontal="center"/>
    </xf>
    <xf numFmtId="0" fontId="5" fillId="0" borderId="0" xfId="0" applyFont="1" applyBorder="1"/>
    <xf numFmtId="0" fontId="0" fillId="0" borderId="28" xfId="0" applyBorder="1" applyAlignment="1">
      <alignment horizontal="left" indent="1"/>
    </xf>
    <xf numFmtId="0" fontId="0" fillId="0" borderId="4" xfId="0" applyBorder="1" applyAlignment="1">
      <alignment horizontal="left" indent="1"/>
    </xf>
    <xf numFmtId="0" fontId="12" fillId="10" borderId="0" xfId="36" applyFont="1" applyFill="1" applyAlignment="1">
      <alignment horizontal="left" vertical="center" indent="1"/>
    </xf>
    <xf numFmtId="0" fontId="14" fillId="10" borderId="32" xfId="36" applyFont="1" applyFill="1" applyBorder="1" applyAlignment="1">
      <alignment horizontal="left" vertical="center" indent="1"/>
    </xf>
    <xf numFmtId="10" fontId="12" fillId="10" borderId="0" xfId="36" applyNumberFormat="1" applyFont="1" applyFill="1" applyBorder="1" applyAlignment="1">
      <alignment horizontal="left" vertical="center" indent="1"/>
    </xf>
    <xf numFmtId="3" fontId="12" fillId="10" borderId="0" xfId="36" applyNumberFormat="1" applyFont="1" applyFill="1" applyBorder="1" applyAlignment="1">
      <alignment horizontal="left" vertical="center" indent="1"/>
    </xf>
    <xf numFmtId="6" fontId="12" fillId="10" borderId="0" xfId="36" applyNumberFormat="1" applyFont="1" applyFill="1" applyBorder="1" applyAlignment="1">
      <alignment horizontal="left" vertical="center" indent="1"/>
    </xf>
    <xf numFmtId="0" fontId="12" fillId="10" borderId="0" xfId="36" applyFont="1" applyFill="1" applyBorder="1" applyAlignment="1">
      <alignment horizontal="left" vertical="center" indent="1"/>
    </xf>
    <xf numFmtId="38" fontId="12" fillId="10" borderId="0" xfId="36" applyNumberFormat="1" applyFont="1" applyFill="1" applyBorder="1" applyAlignment="1">
      <alignment horizontal="left" vertical="center" indent="1"/>
    </xf>
    <xf numFmtId="171" fontId="12" fillId="10" borderId="0" xfId="36" applyNumberFormat="1" applyFont="1" applyFill="1" applyBorder="1" applyAlignment="1">
      <alignment horizontal="left" vertical="center" indent="1"/>
    </xf>
    <xf numFmtId="0" fontId="12" fillId="0" borderId="0" xfId="36" applyAlignment="1">
      <alignment horizontal="left" vertical="center" indent="1"/>
    </xf>
    <xf numFmtId="0" fontId="14" fillId="11" borderId="33" xfId="36" applyFont="1" applyFill="1" applyBorder="1" applyAlignment="1">
      <alignment horizontal="left" vertical="center" indent="1"/>
    </xf>
    <xf numFmtId="6" fontId="15" fillId="11" borderId="34" xfId="36" applyNumberFormat="1" applyFont="1" applyFill="1" applyBorder="1" applyAlignment="1">
      <alignment horizontal="left" vertical="center" indent="1"/>
    </xf>
    <xf numFmtId="6" fontId="15" fillId="11" borderId="35" xfId="36" applyNumberFormat="1" applyFont="1" applyFill="1" applyBorder="1" applyAlignment="1">
      <alignment horizontal="left" vertical="center" indent="1"/>
    </xf>
    <xf numFmtId="170" fontId="12" fillId="0" borderId="38" xfId="37" applyNumberFormat="1" applyFont="1" applyFill="1" applyBorder="1" applyAlignment="1">
      <alignment horizontal="left" vertical="center" indent="1"/>
    </xf>
    <xf numFmtId="6" fontId="12" fillId="0" borderId="39" xfId="37" applyNumberFormat="1" applyFont="1" applyFill="1" applyBorder="1" applyAlignment="1">
      <alignment horizontal="left" vertical="center" indent="1"/>
    </xf>
    <xf numFmtId="38" fontId="12" fillId="0" borderId="38" xfId="37" applyNumberFormat="1" applyFont="1" applyFill="1" applyBorder="1" applyAlignment="1">
      <alignment horizontal="left" vertical="center" indent="1"/>
    </xf>
    <xf numFmtId="38" fontId="12" fillId="0" borderId="39" xfId="37" applyNumberFormat="1" applyFont="1" applyFill="1" applyBorder="1" applyAlignment="1">
      <alignment horizontal="left" vertical="center" indent="1"/>
    </xf>
    <xf numFmtId="0" fontId="12" fillId="10" borderId="37" xfId="36" applyFont="1" applyFill="1" applyBorder="1" applyAlignment="1">
      <alignment horizontal="left" vertical="center" indent="1"/>
    </xf>
    <xf numFmtId="170" fontId="17" fillId="10" borderId="38" xfId="37" applyNumberFormat="1" applyFont="1" applyFill="1" applyBorder="1" applyAlignment="1">
      <alignment horizontal="left" vertical="center" indent="1"/>
    </xf>
    <xf numFmtId="38" fontId="12" fillId="10" borderId="38" xfId="37" applyNumberFormat="1" applyFont="1" applyFill="1" applyBorder="1" applyAlignment="1">
      <alignment horizontal="left" vertical="center" indent="1"/>
    </xf>
    <xf numFmtId="38" fontId="12" fillId="10" borderId="39" xfId="37" applyNumberFormat="1" applyFont="1" applyFill="1" applyBorder="1" applyAlignment="1">
      <alignment horizontal="left" vertical="center" indent="1"/>
    </xf>
    <xf numFmtId="170" fontId="17" fillId="10" borderId="39" xfId="37" applyNumberFormat="1" applyFont="1" applyFill="1" applyBorder="1" applyAlignment="1">
      <alignment horizontal="left" vertical="center" indent="1"/>
    </xf>
    <xf numFmtId="0" fontId="12" fillId="10" borderId="40" xfId="36" applyFont="1" applyFill="1" applyBorder="1" applyAlignment="1">
      <alignment horizontal="left" vertical="center" indent="1"/>
    </xf>
    <xf numFmtId="4" fontId="12" fillId="10" borderId="41" xfId="36" applyNumberFormat="1" applyFont="1" applyFill="1" applyBorder="1" applyAlignment="1">
      <alignment horizontal="left" vertical="center" indent="1"/>
    </xf>
    <xf numFmtId="170" fontId="17" fillId="10" borderId="42" xfId="37" applyNumberFormat="1" applyFont="1" applyFill="1" applyBorder="1" applyAlignment="1">
      <alignment horizontal="left" vertical="center" indent="1"/>
    </xf>
    <xf numFmtId="0" fontId="12" fillId="10" borderId="43" xfId="36" applyFont="1" applyFill="1" applyBorder="1" applyAlignment="1">
      <alignment horizontal="left" vertical="center" indent="2"/>
    </xf>
    <xf numFmtId="0" fontId="12" fillId="10" borderId="45" xfId="36" applyFont="1" applyFill="1" applyBorder="1" applyAlignment="1">
      <alignment horizontal="left" vertical="center" indent="2"/>
    </xf>
    <xf numFmtId="0" fontId="13" fillId="9" borderId="29" xfId="36" applyFont="1" applyFill="1" applyBorder="1" applyAlignment="1">
      <alignment horizontal="left" vertical="center" indent="1"/>
    </xf>
    <xf numFmtId="9" fontId="0" fillId="0" borderId="28" xfId="3" applyFont="1" applyBorder="1" applyAlignment="1">
      <alignment horizontal="right" indent="1"/>
    </xf>
    <xf numFmtId="1" fontId="2" fillId="3" borderId="11" xfId="2" applyNumberFormat="1" applyBorder="1"/>
    <xf numFmtId="1" fontId="1" fillId="8" borderId="0" xfId="0" applyNumberFormat="1" applyFont="1" applyFill="1" applyBorder="1"/>
    <xf numFmtId="9" fontId="0" fillId="0" borderId="28" xfId="3" applyFont="1" applyBorder="1" applyAlignment="1">
      <alignment horizontal="right"/>
    </xf>
    <xf numFmtId="10" fontId="18" fillId="13" borderId="0" xfId="7" applyNumberFormat="1" applyFont="1" applyFill="1"/>
    <xf numFmtId="168" fontId="0" fillId="0" borderId="0" xfId="5" applyNumberFormat="1" applyFont="1" applyAlignment="1"/>
    <xf numFmtId="0" fontId="12" fillId="0" borderId="36" xfId="36" applyFont="1" applyFill="1" applyBorder="1" applyAlignment="1">
      <alignment horizontal="left" vertical="center" indent="1"/>
    </xf>
    <xf numFmtId="0" fontId="14" fillId="10" borderId="46" xfId="36" applyFont="1" applyFill="1" applyBorder="1" applyAlignment="1">
      <alignment horizontal="left" vertical="center" indent="1"/>
    </xf>
    <xf numFmtId="0" fontId="12" fillId="10" borderId="48" xfId="36" applyFont="1" applyFill="1" applyBorder="1" applyAlignment="1">
      <alignment horizontal="left" vertical="center" indent="2"/>
    </xf>
    <xf numFmtId="0" fontId="12" fillId="0" borderId="54" xfId="36" applyFont="1" applyFill="1" applyBorder="1" applyAlignment="1">
      <alignment horizontal="left" vertical="center" indent="1"/>
    </xf>
    <xf numFmtId="0" fontId="12" fillId="0" borderId="53" xfId="36" applyFont="1" applyFill="1" applyBorder="1" applyAlignment="1">
      <alignment horizontal="left" vertical="center" indent="1"/>
    </xf>
    <xf numFmtId="170" fontId="19" fillId="0" borderId="38" xfId="37" applyNumberFormat="1" applyFont="1" applyFill="1" applyBorder="1" applyAlignment="1">
      <alignment horizontal="left" vertical="center" indent="1"/>
    </xf>
    <xf numFmtId="15" fontId="12" fillId="0" borderId="57" xfId="36" applyNumberFormat="1" applyFont="1" applyFill="1" applyBorder="1" applyAlignment="1">
      <alignment horizontal="left" vertical="center" indent="1"/>
    </xf>
    <xf numFmtId="15" fontId="12" fillId="0" borderId="56" xfId="36" applyNumberFormat="1" applyFont="1" applyFill="1" applyBorder="1" applyAlignment="1">
      <alignment horizontal="left" vertical="center" indent="1"/>
    </xf>
    <xf numFmtId="15" fontId="12" fillId="0" borderId="37" xfId="36" applyNumberFormat="1" applyFont="1" applyFill="1" applyBorder="1" applyAlignment="1">
      <alignment horizontal="left" vertical="center" indent="1"/>
    </xf>
    <xf numFmtId="0" fontId="5" fillId="0" borderId="58" xfId="0" applyFont="1" applyFill="1" applyBorder="1"/>
    <xf numFmtId="1" fontId="4" fillId="5" borderId="59" xfId="6" applyNumberFormat="1" applyBorder="1"/>
    <xf numFmtId="1" fontId="0" fillId="0" borderId="28" xfId="0" applyNumberFormat="1" applyBorder="1"/>
    <xf numFmtId="9" fontId="0" fillId="0" borderId="28" xfId="3" applyFont="1" applyBorder="1"/>
    <xf numFmtId="1" fontId="5" fillId="0" borderId="60" xfId="0" applyNumberFormat="1" applyFont="1" applyBorder="1"/>
    <xf numFmtId="1" fontId="5" fillId="0" borderId="61" xfId="0" applyNumberFormat="1" applyFont="1" applyBorder="1"/>
    <xf numFmtId="1" fontId="5" fillId="0" borderId="61" xfId="0" applyNumberFormat="1" applyFont="1" applyFill="1" applyBorder="1"/>
    <xf numFmtId="1" fontId="5" fillId="0" borderId="62" xfId="0" applyNumberFormat="1" applyFont="1" applyFill="1" applyBorder="1"/>
    <xf numFmtId="1" fontId="0" fillId="0" borderId="63" xfId="0" applyNumberFormat="1" applyBorder="1"/>
    <xf numFmtId="0" fontId="0" fillId="0" borderId="64" xfId="0" applyBorder="1"/>
    <xf numFmtId="1" fontId="0" fillId="0" borderId="65" xfId="0" applyNumberFormat="1" applyBorder="1"/>
    <xf numFmtId="9" fontId="0" fillId="0" borderId="66" xfId="3" applyFont="1" applyBorder="1"/>
    <xf numFmtId="1" fontId="0" fillId="0" borderId="66" xfId="0" applyNumberFormat="1" applyBorder="1"/>
    <xf numFmtId="0" fontId="0" fillId="0" borderId="66" xfId="0" applyBorder="1" applyAlignment="1">
      <alignment wrapText="1"/>
    </xf>
    <xf numFmtId="0" fontId="0" fillId="0" borderId="66" xfId="0" applyBorder="1"/>
    <xf numFmtId="0" fontId="0" fillId="0" borderId="67" xfId="0" applyBorder="1"/>
    <xf numFmtId="0" fontId="21" fillId="0" borderId="3" xfId="0" applyFont="1" applyBorder="1"/>
    <xf numFmtId="6" fontId="15" fillId="10" borderId="44" xfId="36" applyNumberFormat="1" applyFont="1" applyFill="1" applyBorder="1" applyAlignment="1">
      <alignment horizontal="center" vertical="center"/>
    </xf>
    <xf numFmtId="0" fontId="12" fillId="10" borderId="49" xfId="36" applyFont="1" applyFill="1" applyBorder="1" applyAlignment="1">
      <alignment horizontal="center" vertical="center"/>
    </xf>
    <xf numFmtId="0" fontId="12" fillId="10" borderId="46" xfId="36" applyFont="1" applyFill="1" applyBorder="1" applyAlignment="1">
      <alignment horizontal="center" vertical="center"/>
    </xf>
    <xf numFmtId="0" fontId="12" fillId="10" borderId="47" xfId="36" applyFont="1" applyFill="1" applyBorder="1" applyAlignment="1">
      <alignment horizontal="center" vertical="center"/>
    </xf>
    <xf numFmtId="0" fontId="16" fillId="12" borderId="50" xfId="36" applyFont="1" applyFill="1" applyBorder="1" applyAlignment="1">
      <alignment vertical="center"/>
    </xf>
    <xf numFmtId="0" fontId="16" fillId="12" borderId="51" xfId="36" applyFont="1" applyFill="1" applyBorder="1" applyAlignment="1">
      <alignment vertical="center"/>
    </xf>
    <xf numFmtId="6" fontId="15" fillId="10" borderId="71" xfId="36" applyNumberFormat="1" applyFont="1" applyFill="1" applyBorder="1" applyAlignment="1">
      <alignment horizontal="center" vertical="center"/>
    </xf>
    <xf numFmtId="0" fontId="4" fillId="5" borderId="77" xfId="6" applyBorder="1"/>
    <xf numFmtId="0" fontId="0" fillId="0" borderId="74" xfId="0" applyBorder="1"/>
    <xf numFmtId="0" fontId="0" fillId="0" borderId="73" xfId="0" applyBorder="1"/>
    <xf numFmtId="0" fontId="0" fillId="0" borderId="72" xfId="0" applyBorder="1"/>
    <xf numFmtId="9" fontId="4" fillId="5" borderId="11" xfId="3" applyFont="1" applyFill="1" applyBorder="1"/>
    <xf numFmtId="0" fontId="0" fillId="0" borderId="0" xfId="0"/>
    <xf numFmtId="0" fontId="1" fillId="2" borderId="1" xfId="1"/>
    <xf numFmtId="0" fontId="0" fillId="0" borderId="6" xfId="0" applyBorder="1"/>
    <xf numFmtId="0" fontId="5" fillId="0" borderId="0" xfId="0" applyFont="1"/>
    <xf numFmtId="0" fontId="4" fillId="5" borderId="20" xfId="6" applyBorder="1"/>
    <xf numFmtId="0" fontId="0" fillId="0" borderId="28" xfId="0" applyBorder="1"/>
    <xf numFmtId="1" fontId="0" fillId="0" borderId="28" xfId="0" applyNumberFormat="1" applyBorder="1"/>
    <xf numFmtId="9" fontId="0" fillId="0" borderId="28" xfId="3" applyFont="1" applyBorder="1"/>
    <xf numFmtId="0" fontId="0" fillId="0" borderId="64" xfId="0" applyBorder="1"/>
    <xf numFmtId="0" fontId="1" fillId="2" borderId="77" xfId="1" applyBorder="1"/>
    <xf numFmtId="166" fontId="4" fillId="5" borderId="77" xfId="6" applyNumberFormat="1" applyBorder="1"/>
    <xf numFmtId="0" fontId="4" fillId="5" borderId="78" xfId="6" applyBorder="1"/>
    <xf numFmtId="0" fontId="4" fillId="5" borderId="79" xfId="6" applyBorder="1"/>
    <xf numFmtId="0" fontId="12" fillId="0" borderId="38" xfId="36" applyFont="1" applyFill="1" applyBorder="1" applyAlignment="1">
      <alignment horizontal="left" vertical="center" indent="1"/>
    </xf>
    <xf numFmtId="0" fontId="12" fillId="0" borderId="39" xfId="36" applyFont="1" applyFill="1" applyBorder="1" applyAlignment="1">
      <alignment horizontal="left" vertical="center" indent="1"/>
    </xf>
    <xf numFmtId="1" fontId="0" fillId="0" borderId="63" xfId="0" applyNumberFormat="1" applyBorder="1" applyAlignment="1">
      <alignment wrapText="1"/>
    </xf>
    <xf numFmtId="6" fontId="15" fillId="10" borderId="46" xfId="36" applyNumberFormat="1" applyFont="1" applyFill="1" applyBorder="1" applyAlignment="1">
      <alignment horizontal="center" vertical="center"/>
    </xf>
    <xf numFmtId="0" fontId="12" fillId="10" borderId="68" xfId="36" applyFont="1" applyFill="1" applyBorder="1" applyAlignment="1">
      <alignment horizontal="center" vertical="center"/>
    </xf>
    <xf numFmtId="0" fontId="12" fillId="10" borderId="69" xfId="36" applyFont="1" applyFill="1" applyBorder="1" applyAlignment="1">
      <alignment horizontal="center" vertical="center"/>
    </xf>
    <xf numFmtId="0" fontId="16" fillId="12" borderId="51" xfId="36" applyFont="1" applyFill="1" applyBorder="1" applyAlignment="1">
      <alignment horizontal="center" vertical="center"/>
    </xf>
    <xf numFmtId="0" fontId="12" fillId="10" borderId="70" xfId="36" applyFont="1" applyFill="1" applyBorder="1" applyAlignment="1">
      <alignment horizontal="center" vertical="center"/>
    </xf>
    <xf numFmtId="1" fontId="5" fillId="0" borderId="58" xfId="0" applyNumberFormat="1" applyFont="1" applyFill="1" applyBorder="1"/>
    <xf numFmtId="0" fontId="5" fillId="0" borderId="80" xfId="0" applyFont="1" applyBorder="1"/>
    <xf numFmtId="0" fontId="3" fillId="0" borderId="0" xfId="4" applyFill="1" applyBorder="1"/>
    <xf numFmtId="0" fontId="0" fillId="15" borderId="4" xfId="0" applyFill="1" applyBorder="1"/>
    <xf numFmtId="0" fontId="0" fillId="15" borderId="5" xfId="0" applyFill="1" applyBorder="1"/>
    <xf numFmtId="164" fontId="4" fillId="15" borderId="9" xfId="6" applyNumberFormat="1" applyFill="1" applyBorder="1"/>
    <xf numFmtId="164" fontId="4" fillId="15" borderId="10" xfId="6" applyNumberFormat="1" applyFill="1" applyBorder="1"/>
    <xf numFmtId="0" fontId="5" fillId="0" borderId="80" xfId="0" applyFont="1" applyFill="1" applyBorder="1"/>
    <xf numFmtId="1" fontId="5" fillId="0" borderId="59" xfId="0" applyNumberFormat="1" applyFont="1" applyFill="1" applyBorder="1"/>
    <xf numFmtId="1" fontId="0" fillId="0" borderId="0" xfId="0" applyNumberFormat="1" applyFill="1" applyBorder="1"/>
    <xf numFmtId="0" fontId="0" fillId="0" borderId="18" xfId="0" applyFill="1" applyBorder="1"/>
    <xf numFmtId="1" fontId="0" fillId="0" borderId="19" xfId="0" applyNumberFormat="1" applyFill="1" applyBorder="1"/>
    <xf numFmtId="1" fontId="0" fillId="0" borderId="2" xfId="0" applyNumberFormat="1" applyFill="1" applyBorder="1"/>
    <xf numFmtId="6" fontId="12" fillId="0" borderId="38" xfId="37" applyNumberFormat="1" applyFont="1" applyFill="1" applyBorder="1" applyAlignment="1">
      <alignment horizontal="left" vertical="center" wrapText="1" indent="1"/>
    </xf>
    <xf numFmtId="0" fontId="0" fillId="4" borderId="28" xfId="4" applyFont="1" applyBorder="1"/>
    <xf numFmtId="0" fontId="0" fillId="4" borderId="28" xfId="4" applyFont="1" applyBorder="1" applyAlignment="1">
      <alignment wrapText="1"/>
    </xf>
    <xf numFmtId="0" fontId="5" fillId="4" borderId="28" xfId="4" applyFont="1" applyBorder="1"/>
    <xf numFmtId="164" fontId="4" fillId="0" borderId="0" xfId="6" applyNumberFormat="1" applyFill="1" applyBorder="1"/>
    <xf numFmtId="173" fontId="12" fillId="0" borderId="38" xfId="37" applyNumberFormat="1" applyFont="1" applyFill="1" applyBorder="1" applyAlignment="1">
      <alignment horizontal="left" vertical="center" indent="1"/>
    </xf>
    <xf numFmtId="15" fontId="12" fillId="0" borderId="37" xfId="36" applyNumberFormat="1" applyFont="1" applyFill="1" applyBorder="1" applyAlignment="1">
      <alignment horizontal="left" vertical="center" indent="1"/>
    </xf>
    <xf numFmtId="173" fontId="12" fillId="0" borderId="38" xfId="37" applyNumberFormat="1" applyFont="1" applyFill="1" applyBorder="1" applyAlignment="1">
      <alignment horizontal="left" vertical="center" indent="1"/>
    </xf>
    <xf numFmtId="0" fontId="12" fillId="0" borderId="39" xfId="36" applyFont="1" applyFill="1" applyBorder="1" applyAlignment="1">
      <alignment horizontal="left" vertical="center" indent="1"/>
    </xf>
    <xf numFmtId="2" fontId="1" fillId="2" borderId="0" xfId="1" applyNumberFormat="1" applyBorder="1"/>
    <xf numFmtId="0" fontId="0" fillId="17" borderId="0" xfId="0" applyFill="1"/>
    <xf numFmtId="0" fontId="0" fillId="17" borderId="0" xfId="4" applyFont="1" applyFill="1" applyBorder="1"/>
    <xf numFmtId="2" fontId="0" fillId="6" borderId="9" xfId="0" applyNumberFormat="1" applyFill="1" applyBorder="1"/>
    <xf numFmtId="0" fontId="23" fillId="2" borderId="1" xfId="1" applyFont="1"/>
    <xf numFmtId="0" fontId="0" fillId="0" borderId="10" xfId="0" applyBorder="1"/>
    <xf numFmtId="0" fontId="5" fillId="16" borderId="3" xfId="40" applyFont="1" applyBorder="1"/>
    <xf numFmtId="0" fontId="3" fillId="16" borderId="5" xfId="40" applyBorder="1"/>
    <xf numFmtId="0" fontId="3" fillId="16" borderId="6" xfId="40" applyBorder="1"/>
    <xf numFmtId="10" fontId="3" fillId="16" borderId="7" xfId="40" applyNumberFormat="1" applyBorder="1"/>
    <xf numFmtId="0" fontId="3" fillId="16" borderId="7" xfId="40" applyBorder="1"/>
    <xf numFmtId="0" fontId="0" fillId="16" borderId="8" xfId="40" applyFont="1" applyBorder="1"/>
    <xf numFmtId="0" fontId="3" fillId="16" borderId="10" xfId="40" applyBorder="1"/>
    <xf numFmtId="0" fontId="1" fillId="2" borderId="1" xfId="1" applyFont="1"/>
    <xf numFmtId="0" fontId="0" fillId="16" borderId="6" xfId="40" applyFont="1" applyBorder="1"/>
    <xf numFmtId="0" fontId="3" fillId="16" borderId="7" xfId="40" applyNumberFormat="1" applyBorder="1"/>
    <xf numFmtId="0" fontId="12" fillId="0" borderId="52" xfId="36" applyFont="1" applyFill="1" applyBorder="1" applyAlignment="1">
      <alignment horizontal="left" vertical="center" wrapText="1" indent="1"/>
    </xf>
    <xf numFmtId="0" fontId="12" fillId="0" borderId="55" xfId="36" applyFont="1" applyFill="1" applyBorder="1" applyAlignment="1">
      <alignment horizontal="left" vertical="center" wrapText="1" indent="1"/>
    </xf>
    <xf numFmtId="0" fontId="12" fillId="0" borderId="38" xfId="36" applyFont="1" applyFill="1" applyBorder="1" applyAlignment="1">
      <alignment horizontal="left" vertical="center" wrapText="1" indent="1"/>
    </xf>
    <xf numFmtId="38" fontId="12" fillId="0" borderId="38" xfId="37" applyNumberFormat="1" applyFont="1" applyFill="1" applyBorder="1" applyAlignment="1">
      <alignment horizontal="left" vertical="center" wrapText="1" indent="1"/>
    </xf>
    <xf numFmtId="38" fontId="12" fillId="10" borderId="38" xfId="37" applyNumberFormat="1" applyFont="1" applyFill="1" applyBorder="1" applyAlignment="1">
      <alignment horizontal="left" vertical="center" wrapText="1" indent="1"/>
    </xf>
    <xf numFmtId="4" fontId="12" fillId="10" borderId="41" xfId="36" applyNumberFormat="1" applyFont="1" applyFill="1" applyBorder="1" applyAlignment="1">
      <alignment horizontal="left" vertical="center" wrapText="1" indent="1"/>
    </xf>
    <xf numFmtId="0" fontId="2" fillId="3" borderId="1" xfId="2" applyNumberFormat="1"/>
    <xf numFmtId="0" fontId="0" fillId="4" borderId="28" xfId="4" applyFont="1" applyBorder="1" applyAlignment="1">
      <alignment vertical="top"/>
    </xf>
    <xf numFmtId="0" fontId="0" fillId="0" borderId="0" xfId="0" applyAlignment="1">
      <alignment vertical="top"/>
    </xf>
    <xf numFmtId="0" fontId="3" fillId="4" borderId="28" xfId="4" applyBorder="1" applyAlignment="1">
      <alignment vertical="top" wrapText="1"/>
    </xf>
    <xf numFmtId="0" fontId="0" fillId="4" borderId="22" xfId="4" applyFont="1" applyBorder="1" applyAlignment="1">
      <alignment vertical="top"/>
    </xf>
    <xf numFmtId="0" fontId="30" fillId="0" borderId="0" xfId="4" applyFont="1" applyFill="1" applyBorder="1" applyAlignment="1">
      <alignment vertical="top" wrapText="1"/>
    </xf>
    <xf numFmtId="172" fontId="3" fillId="4" borderId="22" xfId="4" applyNumberFormat="1" applyBorder="1" applyAlignment="1">
      <alignment horizontal="right" vertical="top" wrapText="1"/>
    </xf>
    <xf numFmtId="0" fontId="13" fillId="9" borderId="29" xfId="36" applyFont="1" applyFill="1" applyBorder="1" applyAlignment="1">
      <alignment horizontal="left" vertical="center" indent="1"/>
    </xf>
    <xf numFmtId="0" fontId="13" fillId="9" borderId="30" xfId="36" applyFont="1" applyFill="1" applyBorder="1" applyAlignment="1">
      <alignment horizontal="left" vertical="center" indent="1"/>
    </xf>
    <xf numFmtId="0" fontId="13" fillId="9" borderId="31" xfId="36" applyFont="1" applyFill="1" applyBorder="1" applyAlignment="1">
      <alignment horizontal="left" vertical="center" indent="1"/>
    </xf>
    <xf numFmtId="0" fontId="13" fillId="9" borderId="30" xfId="36" applyFont="1" applyFill="1" applyBorder="1" applyAlignment="1">
      <alignment horizontal="center" vertical="center"/>
    </xf>
    <xf numFmtId="0" fontId="20" fillId="0" borderId="8"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0" fillId="0" borderId="15" xfId="0" applyBorder="1" applyAlignment="1">
      <alignment wrapText="1"/>
    </xf>
    <xf numFmtId="0" fontId="0" fillId="0" borderId="0" xfId="0" applyAlignment="1">
      <alignment wrapText="1"/>
    </xf>
    <xf numFmtId="0" fontId="5" fillId="14" borderId="75" xfId="0" applyFont="1" applyFill="1" applyBorder="1" applyAlignment="1"/>
    <xf numFmtId="0" fontId="5" fillId="14" borderId="76" xfId="0" applyFont="1" applyFill="1" applyBorder="1" applyAlignment="1"/>
  </cellXfs>
  <cellStyles count="41">
    <cellStyle name="20% - Accent1" xfId="4" builtinId="30"/>
    <cellStyle name="20% - Accent5" xfId="40" builtinId="46"/>
    <cellStyle name="Bad" xfId="7" builtinId="27"/>
    <cellStyle name="Calculation" xfId="2" builtinId="22"/>
    <cellStyle name="Comma" xfId="5" builtinId="3"/>
    <cellStyle name="Comma 2" xfId="38" xr:uid="{00000000-0005-0000-0000-000004000000}"/>
    <cellStyle name="Comma 2 2" xfId="39" xr:uid="{00000000-0005-0000-0000-000005000000}"/>
    <cellStyle name="Currency 2" xfId="37" xr:uid="{00000000-0005-0000-0000-000006000000}"/>
    <cellStyle name="Followed Hyperlink" xfId="31" builtinId="9" hidden="1"/>
    <cellStyle name="Followed Hyperlink" xfId="35" builtinId="9" hidden="1"/>
    <cellStyle name="Followed Hyperlink" xfId="33"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17" builtinId="9" hidden="1"/>
    <cellStyle name="Followed Hyperlink" xfId="13" builtinId="9" hidden="1"/>
    <cellStyle name="Followed Hyperlink" xfId="15" builtinId="9" hidden="1"/>
    <cellStyle name="Followed Hyperlink" xfId="11" builtinId="9" hidden="1"/>
    <cellStyle name="Followed Hyperlink" xfId="9" builtinId="9" hidden="1"/>
    <cellStyle name="Good" xfId="6" builtinId="26"/>
    <cellStyle name="Hyperlink" xfId="2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24" builtinId="8" hidden="1"/>
    <cellStyle name="Hyperlink" xfId="14" builtinId="8" hidden="1"/>
    <cellStyle name="Hyperlink" xfId="16" builtinId="8" hidden="1"/>
    <cellStyle name="Hyperlink" xfId="18" builtinId="8" hidden="1"/>
    <cellStyle name="Hyperlink" xfId="20" builtinId="8" hidden="1"/>
    <cellStyle name="Hyperlink" xfId="10" builtinId="8" hidden="1"/>
    <cellStyle name="Hyperlink" xfId="12" builtinId="8" hidden="1"/>
    <cellStyle name="Hyperlink" xfId="8" builtinId="8" hidden="1"/>
    <cellStyle name="Input" xfId="1" builtinId="20"/>
    <cellStyle name="Normal" xfId="0" builtinId="0"/>
    <cellStyle name="Normal 2" xfId="36" xr:uid="{00000000-0005-0000-0000-000026000000}"/>
    <cellStyle name="Percent" xfId="3" builtinId="5"/>
  </cellStyles>
  <dxfs count="12">
    <dxf>
      <fill>
        <patternFill>
          <bgColor theme="1"/>
        </patternFill>
      </fill>
    </dxf>
    <dxf>
      <font>
        <strike/>
      </font>
      <fill>
        <patternFill>
          <bgColor theme="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140" zoomScaleNormal="140" workbookViewId="0">
      <selection activeCell="C19" sqref="C19"/>
    </sheetView>
  </sheetViews>
  <sheetFormatPr baseColWidth="10" defaultColWidth="8.83203125" defaultRowHeight="13"/>
  <cols>
    <col min="1" max="1" width="13.5" style="161" customWidth="1"/>
    <col min="2" max="2" width="15.5" style="161" customWidth="1"/>
    <col min="3" max="3" width="98.6640625" style="161" customWidth="1"/>
    <col min="4" max="4" width="36.5" style="161" customWidth="1"/>
    <col min="5" max="16384" width="8.83203125" style="161"/>
  </cols>
  <sheetData>
    <row r="1" spans="1:4" ht="33" customHeight="1" thickTop="1" thickBot="1">
      <c r="A1" s="296" t="s">
        <v>0</v>
      </c>
      <c r="B1" s="297"/>
      <c r="C1" s="297"/>
      <c r="D1" s="298"/>
    </row>
    <row r="2" spans="1:4" ht="33" customHeight="1" thickBot="1">
      <c r="A2" s="162" t="s">
        <v>1</v>
      </c>
      <c r="B2" s="163" t="s">
        <v>2</v>
      </c>
      <c r="C2" s="163" t="s">
        <v>314</v>
      </c>
      <c r="D2" s="164" t="s">
        <v>3</v>
      </c>
    </row>
    <row r="3" spans="1:4" ht="20" customHeight="1" thickTop="1">
      <c r="A3" s="192">
        <v>42356</v>
      </c>
      <c r="B3" s="186">
        <v>1</v>
      </c>
      <c r="C3" s="283" t="s">
        <v>4</v>
      </c>
      <c r="D3" s="189" t="s">
        <v>5</v>
      </c>
    </row>
    <row r="4" spans="1:4" ht="20" customHeight="1">
      <c r="A4" s="193">
        <v>42445</v>
      </c>
      <c r="B4" s="165">
        <v>2</v>
      </c>
      <c r="C4" s="284" t="s">
        <v>286</v>
      </c>
      <c r="D4" s="190" t="s">
        <v>5</v>
      </c>
    </row>
    <row r="5" spans="1:4" ht="20" customHeight="1">
      <c r="A5" s="194">
        <v>42550</v>
      </c>
      <c r="B5" s="165">
        <v>3</v>
      </c>
      <c r="C5" s="284" t="s">
        <v>289</v>
      </c>
      <c r="D5" s="190" t="s">
        <v>5</v>
      </c>
    </row>
    <row r="6" spans="1:4" ht="20" customHeight="1">
      <c r="A6" s="194">
        <v>42566</v>
      </c>
      <c r="B6" s="165">
        <v>3.1</v>
      </c>
      <c r="C6" s="284" t="s">
        <v>295</v>
      </c>
      <c r="D6" s="190" t="s">
        <v>5</v>
      </c>
    </row>
    <row r="7" spans="1:4" ht="20" customHeight="1">
      <c r="A7" s="194">
        <v>42706</v>
      </c>
      <c r="B7" s="191">
        <v>3.2</v>
      </c>
      <c r="C7" s="284" t="s">
        <v>297</v>
      </c>
      <c r="D7" s="190" t="s">
        <v>5</v>
      </c>
    </row>
    <row r="8" spans="1:4" ht="20" customHeight="1">
      <c r="A8" s="194">
        <v>42818</v>
      </c>
      <c r="B8" s="237">
        <v>3.3</v>
      </c>
      <c r="C8" s="285" t="s">
        <v>312</v>
      </c>
      <c r="D8" s="238" t="s">
        <v>313</v>
      </c>
    </row>
    <row r="9" spans="1:4" ht="20" customHeight="1">
      <c r="A9" s="194">
        <v>43140</v>
      </c>
      <c r="B9" s="237">
        <v>3.4</v>
      </c>
      <c r="C9" s="258" t="s">
        <v>401</v>
      </c>
      <c r="D9" s="166" t="s">
        <v>333</v>
      </c>
    </row>
    <row r="10" spans="1:4" ht="20" customHeight="1">
      <c r="A10" s="194">
        <v>43140</v>
      </c>
      <c r="B10" s="237">
        <v>3.5</v>
      </c>
      <c r="C10" s="258" t="s">
        <v>332</v>
      </c>
      <c r="D10" s="238" t="s">
        <v>313</v>
      </c>
    </row>
    <row r="11" spans="1:4" ht="20" customHeight="1">
      <c r="A11" s="194">
        <v>43257</v>
      </c>
      <c r="B11" s="263">
        <v>3.6</v>
      </c>
      <c r="C11" s="286" t="s">
        <v>402</v>
      </c>
      <c r="D11" s="238" t="s">
        <v>313</v>
      </c>
    </row>
    <row r="12" spans="1:4" ht="20" customHeight="1">
      <c r="A12" s="264">
        <v>43280</v>
      </c>
      <c r="B12" s="265">
        <v>3.7</v>
      </c>
      <c r="C12" s="285" t="s">
        <v>352</v>
      </c>
      <c r="D12" s="266" t="s">
        <v>353</v>
      </c>
    </row>
    <row r="13" spans="1:4" ht="20" customHeight="1">
      <c r="A13" s="264">
        <v>43315</v>
      </c>
      <c r="B13" s="265">
        <v>3.8</v>
      </c>
      <c r="C13" s="286" t="s">
        <v>357</v>
      </c>
      <c r="D13" s="168" t="s">
        <v>313</v>
      </c>
    </row>
    <row r="14" spans="1:4" ht="20" customHeight="1">
      <c r="A14" s="264">
        <v>43363</v>
      </c>
      <c r="B14" s="167">
        <v>3.9</v>
      </c>
      <c r="C14" s="286" t="s">
        <v>358</v>
      </c>
      <c r="D14" s="168" t="s">
        <v>313</v>
      </c>
    </row>
    <row r="15" spans="1:4" ht="20" customHeight="1">
      <c r="A15" s="264">
        <v>43467</v>
      </c>
      <c r="B15" s="265">
        <v>4.0999999999999996</v>
      </c>
      <c r="C15" s="286" t="s">
        <v>397</v>
      </c>
      <c r="D15" s="168" t="s">
        <v>313</v>
      </c>
    </row>
    <row r="16" spans="1:4" ht="20" customHeight="1">
      <c r="A16" s="264">
        <v>43556</v>
      </c>
      <c r="B16" s="265">
        <v>4.2</v>
      </c>
      <c r="C16" s="286" t="s">
        <v>398</v>
      </c>
      <c r="D16" s="168" t="s">
        <v>399</v>
      </c>
    </row>
    <row r="17" spans="1:4" ht="20" customHeight="1">
      <c r="A17" s="264">
        <v>43563</v>
      </c>
      <c r="B17" s="265">
        <v>4.3</v>
      </c>
      <c r="C17" s="286" t="s">
        <v>408</v>
      </c>
      <c r="D17" s="168" t="s">
        <v>399</v>
      </c>
    </row>
    <row r="18" spans="1:4" ht="30" customHeight="1">
      <c r="A18" s="264">
        <v>43754</v>
      </c>
      <c r="B18" s="265">
        <v>4.4000000000000004</v>
      </c>
      <c r="C18" s="286" t="s">
        <v>418</v>
      </c>
      <c r="D18" s="168" t="s">
        <v>399</v>
      </c>
    </row>
    <row r="19" spans="1:4" ht="30" customHeight="1">
      <c r="A19" s="264">
        <v>43927</v>
      </c>
      <c r="B19" s="265">
        <v>4.5</v>
      </c>
      <c r="C19" s="286" t="s">
        <v>419</v>
      </c>
      <c r="D19" s="168" t="s">
        <v>399</v>
      </c>
    </row>
    <row r="20" spans="1:4" ht="20" customHeight="1">
      <c r="A20" s="169"/>
      <c r="B20" s="170"/>
      <c r="C20" s="287"/>
      <c r="D20" s="172"/>
    </row>
    <row r="21" spans="1:4" ht="20" customHeight="1">
      <c r="A21" s="169"/>
      <c r="B21" s="171"/>
      <c r="C21" s="287"/>
      <c r="D21" s="173"/>
    </row>
    <row r="22" spans="1:4" ht="20" customHeight="1">
      <c r="A22" s="169"/>
      <c r="B22" s="171"/>
      <c r="C22" s="287"/>
      <c r="D22" s="173"/>
    </row>
    <row r="23" spans="1:4" ht="20" customHeight="1" thickBot="1">
      <c r="A23" s="174"/>
      <c r="B23" s="175"/>
      <c r="C23" s="288"/>
      <c r="D23" s="176"/>
    </row>
    <row r="24" spans="1:4" ht="14" thickTop="1"/>
  </sheetData>
  <mergeCells count="1">
    <mergeCell ref="A1:D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6B64-548C-4380-A7D7-7EEB27C26677}">
  <dimension ref="A1:D15"/>
  <sheetViews>
    <sheetView workbookViewId="0"/>
  </sheetViews>
  <sheetFormatPr baseColWidth="10" defaultColWidth="8.83203125" defaultRowHeight="15"/>
  <cols>
    <col min="1" max="1" width="41.33203125" customWidth="1"/>
    <col min="2" max="2" width="26.1640625" customWidth="1"/>
    <col min="3" max="3" width="25.5" customWidth="1"/>
    <col min="4" max="4" width="29.83203125" customWidth="1"/>
    <col min="5" max="5" width="31.5" customWidth="1"/>
  </cols>
  <sheetData>
    <row r="1" spans="1:4" s="224" customFormat="1">
      <c r="A1" s="69" t="s">
        <v>144</v>
      </c>
      <c r="B1" s="39"/>
    </row>
    <row r="2" spans="1:4" s="224" customFormat="1">
      <c r="A2" s="40" t="s">
        <v>382</v>
      </c>
      <c r="B2" s="272" t="s">
        <v>383</v>
      </c>
    </row>
    <row r="3" spans="1:4" s="224" customFormat="1"/>
    <row r="4" spans="1:4" s="224" customFormat="1">
      <c r="A4" s="273" t="s">
        <v>379</v>
      </c>
      <c r="B4" s="274"/>
    </row>
    <row r="5" spans="1:4">
      <c r="A5" s="275" t="s">
        <v>377</v>
      </c>
      <c r="B5" s="276">
        <v>2.4E-2</v>
      </c>
    </row>
    <row r="6" spans="1:4">
      <c r="A6" s="275" t="s">
        <v>378</v>
      </c>
      <c r="B6" s="277">
        <v>50</v>
      </c>
    </row>
    <row r="7" spans="1:4">
      <c r="A7" s="278" t="s">
        <v>380</v>
      </c>
      <c r="B7" s="279">
        <v>30</v>
      </c>
    </row>
    <row r="9" spans="1:4">
      <c r="A9" s="271" t="s">
        <v>157</v>
      </c>
      <c r="B9" s="225"/>
    </row>
    <row r="10" spans="1:4" s="224" customFormat="1">
      <c r="A10" s="280" t="s">
        <v>388</v>
      </c>
      <c r="B10" s="225">
        <f>IF('Deployment input'!B47 = B2,1,0)</f>
        <v>0</v>
      </c>
    </row>
    <row r="11" spans="1:4">
      <c r="A11" s="225" t="s">
        <v>179</v>
      </c>
      <c r="B11" s="11">
        <f>'Deployment input'!B21</f>
        <v>0</v>
      </c>
    </row>
    <row r="14" spans="1:4">
      <c r="A14" s="37"/>
      <c r="B14" s="148" t="s">
        <v>201</v>
      </c>
      <c r="C14" s="148" t="s">
        <v>202</v>
      </c>
      <c r="D14" s="149" t="s">
        <v>203</v>
      </c>
    </row>
    <row r="15" spans="1:4">
      <c r="A15" s="40" t="s">
        <v>381</v>
      </c>
      <c r="B15" s="103">
        <f>B11*B5/MAX(1,D15)</f>
        <v>0</v>
      </c>
      <c r="C15" s="100">
        <f>B11*B6/MAX(1,D15)</f>
        <v>0</v>
      </c>
      <c r="D15" s="134">
        <f>CEILING(B11/B7,1)</f>
        <v>0</v>
      </c>
    </row>
  </sheetData>
  <conditionalFormatting sqref="A18:I18">
    <cfRule type="expression" priority="1">
      <formula>$B$10=1</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8399-E178-4BD1-9DAA-860A59B59E1A}">
  <dimension ref="A1:G11"/>
  <sheetViews>
    <sheetView workbookViewId="0">
      <selection sqref="A1:XFD1"/>
    </sheetView>
  </sheetViews>
  <sheetFormatPr baseColWidth="10" defaultColWidth="8.83203125" defaultRowHeight="15"/>
  <cols>
    <col min="1" max="1" width="44.6640625" customWidth="1"/>
    <col min="2" max="2" width="31.33203125" customWidth="1"/>
    <col min="3" max="3" width="27" customWidth="1"/>
    <col min="4" max="6" width="27" style="224" customWidth="1"/>
    <col min="7" max="7" width="36.6640625" customWidth="1"/>
  </cols>
  <sheetData>
    <row r="1" spans="1:7" s="224" customFormat="1">
      <c r="A1" s="224" t="s">
        <v>417</v>
      </c>
    </row>
    <row r="2" spans="1:7">
      <c r="A2" s="273" t="s">
        <v>379</v>
      </c>
      <c r="B2" s="274"/>
    </row>
    <row r="3" spans="1:7">
      <c r="A3" s="281" t="s">
        <v>391</v>
      </c>
      <c r="B3" s="282">
        <v>5</v>
      </c>
    </row>
    <row r="4" spans="1:7">
      <c r="A4" s="278" t="s">
        <v>394</v>
      </c>
      <c r="B4" s="279">
        <v>80000</v>
      </c>
    </row>
    <row r="6" spans="1:7">
      <c r="A6" s="271" t="s">
        <v>157</v>
      </c>
      <c r="B6" s="225"/>
    </row>
    <row r="7" spans="1:7">
      <c r="A7" s="225" t="s">
        <v>392</v>
      </c>
      <c r="B7" s="11">
        <f>'Deployment input'!B29</f>
        <v>0</v>
      </c>
    </row>
    <row r="8" spans="1:7">
      <c r="A8" s="280" t="s">
        <v>395</v>
      </c>
      <c r="B8" s="2">
        <f>'Screen recording storage'!B21*8*B7</f>
        <v>0</v>
      </c>
    </row>
    <row r="10" spans="1:7">
      <c r="A10" s="37"/>
      <c r="B10" s="148" t="s">
        <v>201</v>
      </c>
      <c r="C10" s="148" t="s">
        <v>202</v>
      </c>
      <c r="D10" s="148" t="s">
        <v>81</v>
      </c>
      <c r="E10" s="148" t="s">
        <v>393</v>
      </c>
      <c r="F10" s="148" t="s">
        <v>83</v>
      </c>
      <c r="G10" s="149" t="s">
        <v>203</v>
      </c>
    </row>
    <row r="11" spans="1:7">
      <c r="A11" s="40" t="s">
        <v>396</v>
      </c>
      <c r="B11" s="103">
        <v>1.5</v>
      </c>
      <c r="C11" s="100">
        <f>2048</f>
        <v>2048</v>
      </c>
      <c r="D11" s="100">
        <v>200</v>
      </c>
      <c r="E11" s="100">
        <v>120</v>
      </c>
      <c r="F11" s="100">
        <f>B8/1024/MAX(1,G11)</f>
        <v>0</v>
      </c>
      <c r="G11" s="134">
        <f>ROUNDUP(MAX(B7/B3,B8/B4),0)</f>
        <v>0</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workbookViewId="0">
      <selection activeCell="O24" sqref="O24"/>
    </sheetView>
  </sheetViews>
  <sheetFormatPr baseColWidth="10" defaultColWidth="8.83203125" defaultRowHeight="15"/>
  <cols>
    <col min="1" max="1" width="35.5" bestFit="1" customWidth="1"/>
    <col min="2" max="2" width="16.5" bestFit="1" customWidth="1"/>
    <col min="3" max="3" width="12" customWidth="1"/>
    <col min="4" max="4" width="17.5" bestFit="1" customWidth="1"/>
  </cols>
  <sheetData>
    <row r="1" spans="1:3" s="224" customFormat="1">
      <c r="A1" s="224" t="s">
        <v>417</v>
      </c>
    </row>
    <row r="2" spans="1:3">
      <c r="A2" s="10" t="s">
        <v>205</v>
      </c>
      <c r="B2" s="110">
        <v>0.1</v>
      </c>
    </row>
    <row r="3" spans="1:3">
      <c r="A3" s="10" t="s">
        <v>206</v>
      </c>
      <c r="B3" s="121">
        <v>1.344E-5</v>
      </c>
    </row>
    <row r="4" spans="1:3">
      <c r="A4" s="10" t="s">
        <v>207</v>
      </c>
      <c r="B4" s="121">
        <v>6.5230000000000001E-6</v>
      </c>
    </row>
    <row r="5" spans="1:3">
      <c r="A5" s="120"/>
    </row>
    <row r="6" spans="1:3">
      <c r="A6" s="111" t="s">
        <v>208</v>
      </c>
      <c r="B6" s="93"/>
    </row>
    <row r="7" spans="1:3">
      <c r="A7" t="s">
        <v>209</v>
      </c>
      <c r="B7" s="1">
        <f>SUM('Deployment input'!$B$24:$B$25,'Deployment input'!$B$41)</f>
        <v>100</v>
      </c>
    </row>
    <row r="8" spans="1:3">
      <c r="A8" t="s">
        <v>210</v>
      </c>
      <c r="B8" s="1">
        <f>'Voice recording storage'!B5</f>
        <v>16</v>
      </c>
    </row>
    <row r="9" spans="1:3">
      <c r="A9" t="s">
        <v>211</v>
      </c>
      <c r="B9" s="1">
        <f>'Deployment input'!B41</f>
        <v>50</v>
      </c>
    </row>
    <row r="10" spans="1:3">
      <c r="A10" t="s">
        <v>210</v>
      </c>
      <c r="B10" s="1">
        <f>'Screen recording storage'!B11</f>
        <v>118</v>
      </c>
    </row>
    <row r="11" spans="1:3">
      <c r="A11" t="s">
        <v>212</v>
      </c>
      <c r="B11" s="1">
        <f>B7*B8+B9*B10</f>
        <v>7500</v>
      </c>
    </row>
    <row r="12" spans="1:3">
      <c r="A12" t="s">
        <v>213</v>
      </c>
      <c r="B12" s="129">
        <f>RWS!B43</f>
        <v>0</v>
      </c>
    </row>
    <row r="13" spans="1:3">
      <c r="A13" t="s">
        <v>214</v>
      </c>
      <c r="B13" s="182">
        <f>'Voice recording storage'!B10</f>
        <v>480</v>
      </c>
    </row>
    <row r="14" spans="1:3">
      <c r="A14" t="s">
        <v>130</v>
      </c>
      <c r="B14" s="182">
        <f>'Screen recording storage'!B21</f>
        <v>4020</v>
      </c>
    </row>
    <row r="16" spans="1:3">
      <c r="A16" s="150" t="s">
        <v>103</v>
      </c>
      <c r="B16" s="44"/>
      <c r="C16" s="44"/>
    </row>
    <row r="17" spans="1:4">
      <c r="A17" s="131" t="s">
        <v>215</v>
      </c>
      <c r="B17" s="151" t="s">
        <v>79</v>
      </c>
      <c r="C17" s="151" t="s">
        <v>193</v>
      </c>
      <c r="D17" s="151" t="s">
        <v>360</v>
      </c>
    </row>
    <row r="18" spans="1:4">
      <c r="A18" s="131" t="s">
        <v>216</v>
      </c>
      <c r="B18" s="180">
        <f>B7*B8*B3</f>
        <v>2.1503999999999999E-2</v>
      </c>
      <c r="C18" s="151"/>
      <c r="D18" s="151">
        <f>B7*B8/1024</f>
        <v>1.5625</v>
      </c>
    </row>
    <row r="19" spans="1:4">
      <c r="A19" s="131" t="s">
        <v>217</v>
      </c>
      <c r="B19" s="180">
        <f>B9*B10*B4</f>
        <v>3.8485699999999998E-2</v>
      </c>
      <c r="C19" s="151"/>
      <c r="D19" s="151">
        <f>B9*B10/1024</f>
        <v>5.76171875</v>
      </c>
    </row>
    <row r="20" spans="1:4">
      <c r="A20" s="132" t="s">
        <v>218</v>
      </c>
      <c r="B20" s="183">
        <f>(B12*B13*8*B3)+(B12*B14*8*B4)</f>
        <v>0</v>
      </c>
      <c r="C20" s="131"/>
      <c r="D20" s="229">
        <f>(B12*B13*8+B12*B14*8)/1024</f>
        <v>0</v>
      </c>
    </row>
    <row r="21" spans="1:4">
      <c r="B21" s="130">
        <f>SUM(B18:B20)</f>
        <v>5.9989699999999993E-2</v>
      </c>
      <c r="C21" s="102">
        <v>600</v>
      </c>
      <c r="D21" s="102">
        <f>SUM(D18:D20)</f>
        <v>7.32421875</v>
      </c>
    </row>
  </sheetData>
  <pageMargins left="0.7" right="0.7" top="0.75" bottom="0.75" header="0.3" footer="0.3"/>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8"/>
  <sheetViews>
    <sheetView workbookViewId="0">
      <selection activeCell="H14" sqref="H14"/>
    </sheetView>
  </sheetViews>
  <sheetFormatPr baseColWidth="10" defaultColWidth="8.83203125" defaultRowHeight="15"/>
  <cols>
    <col min="1" max="1" width="42.83203125" bestFit="1" customWidth="1"/>
    <col min="2" max="2" width="20.5" customWidth="1"/>
    <col min="3" max="3" width="16.5" customWidth="1"/>
    <col min="4" max="4" width="15.83203125" customWidth="1"/>
    <col min="5" max="5" width="13.5" customWidth="1"/>
  </cols>
  <sheetData>
    <row r="1" spans="1:5">
      <c r="A1" s="13" t="s">
        <v>330</v>
      </c>
      <c r="B1" s="5"/>
      <c r="C1" s="5"/>
      <c r="D1" s="5"/>
      <c r="E1" s="5"/>
    </row>
    <row r="2" spans="1:5" s="224" customFormat="1">
      <c r="A2" s="13" t="s">
        <v>415</v>
      </c>
      <c r="B2" s="5"/>
      <c r="C2" s="5"/>
      <c r="D2" s="5"/>
      <c r="E2" s="5"/>
    </row>
    <row r="3" spans="1:5">
      <c r="A3" s="5" t="s">
        <v>166</v>
      </c>
      <c r="B3" s="13" t="s">
        <v>219</v>
      </c>
      <c r="C3" s="5"/>
      <c r="D3" s="5"/>
      <c r="E3" s="5"/>
    </row>
    <row r="4" spans="1:5">
      <c r="A4" s="5" t="s">
        <v>168</v>
      </c>
      <c r="B4" s="5">
        <v>3</v>
      </c>
      <c r="C4" s="5"/>
      <c r="D4" s="5"/>
      <c r="E4" s="5"/>
    </row>
    <row r="5" spans="1:5">
      <c r="A5" s="5" t="s">
        <v>170</v>
      </c>
      <c r="B5" s="5">
        <f>IF((B26+B32)&gt;20,8,4)</f>
        <v>4</v>
      </c>
      <c r="C5" s="5"/>
      <c r="D5" s="5"/>
      <c r="E5" s="5"/>
    </row>
    <row r="6" spans="1:5">
      <c r="A6" s="13" t="s">
        <v>405</v>
      </c>
      <c r="B6" s="5">
        <v>8</v>
      </c>
      <c r="C6" s="5"/>
      <c r="D6" s="5"/>
      <c r="E6" s="5"/>
    </row>
    <row r="7" spans="1:5">
      <c r="A7" s="5" t="s">
        <v>172</v>
      </c>
      <c r="B7" s="5"/>
      <c r="C7" s="5"/>
      <c r="D7" s="5"/>
      <c r="E7" s="5"/>
    </row>
    <row r="8" spans="1:5">
      <c r="A8" s="5" t="s">
        <v>81</v>
      </c>
      <c r="B8" s="5"/>
      <c r="C8" s="5"/>
      <c r="D8" s="5"/>
      <c r="E8" s="5"/>
    </row>
    <row r="9" spans="1:5">
      <c r="A9" s="5" t="s">
        <v>173</v>
      </c>
      <c r="B9" s="5" t="s">
        <v>174</v>
      </c>
      <c r="C9" s="5"/>
      <c r="D9" s="5"/>
      <c r="E9" s="5"/>
    </row>
    <row r="10" spans="1:5">
      <c r="A10" s="5" t="s">
        <v>175</v>
      </c>
      <c r="B10" s="13" t="s">
        <v>403</v>
      </c>
      <c r="C10" s="5"/>
      <c r="D10" s="5"/>
      <c r="E10" s="5"/>
    </row>
    <row r="11" spans="1:5">
      <c r="A11" s="5"/>
      <c r="B11" s="5"/>
      <c r="C11" s="5"/>
      <c r="D11" s="5"/>
      <c r="E11" s="5"/>
    </row>
    <row r="12" spans="1:5">
      <c r="A12" s="5"/>
      <c r="B12" s="5"/>
      <c r="C12" s="5"/>
      <c r="D12" s="5"/>
      <c r="E12" s="5"/>
    </row>
    <row r="13" spans="1:5">
      <c r="A13" s="5"/>
      <c r="B13" s="5"/>
      <c r="C13" s="5"/>
      <c r="D13" s="5"/>
      <c r="E13" s="5"/>
    </row>
    <row r="14" spans="1:5">
      <c r="A14" s="13" t="s">
        <v>220</v>
      </c>
      <c r="B14" s="89">
        <v>6.7000000000000004E-2</v>
      </c>
      <c r="C14" s="5"/>
      <c r="D14" s="5"/>
      <c r="E14" s="5"/>
    </row>
    <row r="15" spans="1:5">
      <c r="A15" s="13" t="s">
        <v>221</v>
      </c>
      <c r="B15" s="89">
        <v>0.28089999999999998</v>
      </c>
      <c r="C15" s="5"/>
      <c r="D15" s="5"/>
      <c r="E15" s="5"/>
    </row>
    <row r="16" spans="1:5">
      <c r="A16" s="13" t="s">
        <v>222</v>
      </c>
      <c r="B16" s="184">
        <v>0.1153</v>
      </c>
      <c r="C16" s="5"/>
      <c r="D16" s="5"/>
      <c r="E16" s="5"/>
    </row>
    <row r="17" spans="1:5">
      <c r="A17" s="13" t="s">
        <v>223</v>
      </c>
      <c r="B17" s="184">
        <v>0.15759999999999999</v>
      </c>
      <c r="C17" s="5"/>
      <c r="D17" s="5"/>
      <c r="E17" s="5"/>
    </row>
    <row r="18" spans="1:5">
      <c r="A18" s="13" t="s">
        <v>224</v>
      </c>
      <c r="B18" s="109">
        <v>2480</v>
      </c>
      <c r="C18" s="5"/>
      <c r="D18" s="5"/>
      <c r="E18" s="5"/>
    </row>
    <row r="19" spans="1:5">
      <c r="A19" s="13" t="s">
        <v>225</v>
      </c>
      <c r="B19" s="109">
        <v>0.249</v>
      </c>
      <c r="C19" s="5"/>
      <c r="D19" s="5"/>
      <c r="E19" s="5"/>
    </row>
    <row r="20" spans="1:5">
      <c r="A20" s="13" t="s">
        <v>226</v>
      </c>
      <c r="B20" s="5">
        <v>1750</v>
      </c>
      <c r="C20" s="5"/>
      <c r="D20" s="5"/>
      <c r="E20" s="5"/>
    </row>
    <row r="21" spans="1:5">
      <c r="A21" s="13" t="s">
        <v>227</v>
      </c>
      <c r="B21" s="5">
        <v>443</v>
      </c>
      <c r="C21" s="5"/>
      <c r="D21" s="5"/>
      <c r="E21" s="5"/>
    </row>
    <row r="22" spans="1:5">
      <c r="A22" s="13" t="s">
        <v>81</v>
      </c>
      <c r="B22" s="15"/>
      <c r="C22" s="5"/>
      <c r="D22" s="5"/>
      <c r="E22" s="5"/>
    </row>
    <row r="23" spans="1:5">
      <c r="A23" s="5"/>
      <c r="B23" s="5"/>
      <c r="C23" s="5"/>
      <c r="D23" s="5"/>
      <c r="E23" s="5"/>
    </row>
    <row r="25" spans="1:5">
      <c r="A25" s="111" t="s">
        <v>228</v>
      </c>
    </row>
    <row r="26" spans="1:5">
      <c r="A26" t="s">
        <v>229</v>
      </c>
      <c r="B26" s="82">
        <f>'Deployment input'!B21</f>
        <v>0</v>
      </c>
    </row>
    <row r="27" spans="1:5">
      <c r="A27" t="s">
        <v>230</v>
      </c>
      <c r="B27" s="94">
        <f>'Deployment input'!B12+'Deployment input'!E11</f>
        <v>0</v>
      </c>
    </row>
    <row r="28" spans="1:5">
      <c r="A28" t="s">
        <v>43</v>
      </c>
      <c r="B28" s="4">
        <f>'Deployment input'!B22</f>
        <v>360</v>
      </c>
    </row>
    <row r="29" spans="1:5">
      <c r="A29" t="s">
        <v>231</v>
      </c>
      <c r="B29" s="94">
        <f>B27*B28</f>
        <v>0</v>
      </c>
    </row>
    <row r="31" spans="1:5">
      <c r="A31" s="111" t="s">
        <v>232</v>
      </c>
    </row>
    <row r="32" spans="1:5">
      <c r="A32" t="s">
        <v>233</v>
      </c>
      <c r="B32" s="82">
        <f>'Deployment input'!B29</f>
        <v>0</v>
      </c>
      <c r="C32" t="s">
        <v>234</v>
      </c>
    </row>
    <row r="33" spans="1:3">
      <c r="A33" t="s">
        <v>230</v>
      </c>
      <c r="B33" s="1">
        <f>'Deployment input'!B12*'Deployment input'!B28</f>
        <v>0</v>
      </c>
    </row>
    <row r="34" spans="1:3">
      <c r="A34" t="s">
        <v>235</v>
      </c>
      <c r="B34" s="4">
        <f>'Deployment input'!B40</f>
        <v>90</v>
      </c>
    </row>
    <row r="35" spans="1:3">
      <c r="A35" t="s">
        <v>231</v>
      </c>
      <c r="B35" s="94">
        <f>B33*B34</f>
        <v>0</v>
      </c>
    </row>
    <row r="37" spans="1:3">
      <c r="A37" s="111" t="s">
        <v>208</v>
      </c>
      <c r="B37" s="93"/>
    </row>
    <row r="38" spans="1:3">
      <c r="A38" t="s">
        <v>236</v>
      </c>
      <c r="B38" s="185">
        <f>('Deployment input'!$B$15+'Deployment input'!$B$30)</f>
        <v>240</v>
      </c>
    </row>
    <row r="39" spans="1:3">
      <c r="A39" t="s">
        <v>237</v>
      </c>
      <c r="B39" s="119">
        <f>'Deployment input'!E9</f>
        <v>0</v>
      </c>
    </row>
    <row r="40" spans="1:3">
      <c r="A40" t="s">
        <v>238</v>
      </c>
      <c r="B40" s="1">
        <f>'Deployment input'!B24+'Deployment input'!B25</f>
        <v>50</v>
      </c>
    </row>
    <row r="41" spans="1:3">
      <c r="A41" t="s">
        <v>239</v>
      </c>
      <c r="B41" s="2">
        <f>'Deployment input'!B41</f>
        <v>50</v>
      </c>
    </row>
    <row r="42" spans="1:3">
      <c r="A42" t="s">
        <v>240</v>
      </c>
      <c r="B42" s="1">
        <f>AVERAGEIF(B38:B39,"&gt;0")</f>
        <v>240</v>
      </c>
    </row>
    <row r="43" spans="1:3">
      <c r="A43" t="s">
        <v>241</v>
      </c>
      <c r="B43" s="11">
        <f>IF(B32=0,0,B32)</f>
        <v>0</v>
      </c>
    </row>
    <row r="44" spans="1:3">
      <c r="A44" t="s">
        <v>242</v>
      </c>
      <c r="B44" s="11">
        <f>IF(B32=0,0,B32)</f>
        <v>0</v>
      </c>
    </row>
    <row r="45" spans="1:3">
      <c r="A45" t="s">
        <v>243</v>
      </c>
      <c r="B45" s="11">
        <f>B40/B38</f>
        <v>0.20833333333333334</v>
      </c>
    </row>
    <row r="46" spans="1:3">
      <c r="A46" t="s">
        <v>244</v>
      </c>
      <c r="B46" s="11">
        <f>B41/B38</f>
        <v>0.20833333333333334</v>
      </c>
    </row>
    <row r="48" spans="1:3">
      <c r="B48" s="147" t="s">
        <v>80</v>
      </c>
      <c r="C48" s="147" t="s">
        <v>81</v>
      </c>
    </row>
    <row r="49" spans="1:5">
      <c r="A49" t="s">
        <v>329</v>
      </c>
      <c r="B49" s="79">
        <f>B18+2*((B26*B19)+(B32*B21))</f>
        <v>2480</v>
      </c>
      <c r="C49" s="88" t="s">
        <v>245</v>
      </c>
    </row>
    <row r="50" spans="1:5">
      <c r="B50" s="147" t="s">
        <v>191</v>
      </c>
      <c r="C50" s="147" t="s">
        <v>179</v>
      </c>
      <c r="D50" s="147" t="s">
        <v>79</v>
      </c>
      <c r="E50" s="147"/>
    </row>
    <row r="51" spans="1:5">
      <c r="A51" t="s">
        <v>246</v>
      </c>
      <c r="B51" s="128">
        <f>B14</f>
        <v>6.7000000000000004E-2</v>
      </c>
      <c r="C51" s="127">
        <f>B26</f>
        <v>0</v>
      </c>
      <c r="D51" s="90">
        <f t="shared" ref="D51:D56" si="0">B51*C51</f>
        <v>0</v>
      </c>
      <c r="E51" s="224"/>
    </row>
    <row r="52" spans="1:5">
      <c r="A52" t="s">
        <v>247</v>
      </c>
      <c r="B52" s="128">
        <f>B15</f>
        <v>0.28089999999999998</v>
      </c>
      <c r="C52" s="127">
        <f>B32</f>
        <v>0</v>
      </c>
      <c r="D52" s="90">
        <f t="shared" si="0"/>
        <v>0</v>
      </c>
      <c r="E52" s="224"/>
    </row>
    <row r="53" spans="1:5">
      <c r="A53" t="s">
        <v>248</v>
      </c>
      <c r="B53" s="128">
        <f>B16+B17</f>
        <v>0.27289999999999998</v>
      </c>
      <c r="C53" s="127">
        <f>B43</f>
        <v>0</v>
      </c>
      <c r="D53" s="90">
        <f t="shared" si="0"/>
        <v>0</v>
      </c>
      <c r="E53" s="224"/>
    </row>
    <row r="54" spans="1:5">
      <c r="A54" t="s">
        <v>249</v>
      </c>
      <c r="B54" s="128">
        <f>B14</f>
        <v>6.7000000000000004E-2</v>
      </c>
      <c r="C54" s="127">
        <f>B44</f>
        <v>0</v>
      </c>
      <c r="D54" s="90">
        <f t="shared" si="0"/>
        <v>0</v>
      </c>
      <c r="E54" s="224"/>
    </row>
    <row r="55" spans="1:5">
      <c r="A55" t="s">
        <v>250</v>
      </c>
      <c r="B55" s="128">
        <f>B16</f>
        <v>0.1153</v>
      </c>
      <c r="C55" s="127">
        <f>B45</f>
        <v>0.20833333333333334</v>
      </c>
      <c r="D55" s="90">
        <f t="shared" si="0"/>
        <v>2.4020833333333335E-2</v>
      </c>
      <c r="E55" s="224"/>
    </row>
    <row r="56" spans="1:5">
      <c r="A56" t="s">
        <v>251</v>
      </c>
      <c r="B56" s="128">
        <f>B17</f>
        <v>0.15759999999999999</v>
      </c>
      <c r="C56" s="127">
        <f>B46</f>
        <v>0.20833333333333334</v>
      </c>
      <c r="D56" s="90">
        <f t="shared" si="0"/>
        <v>3.2833333333333332E-2</v>
      </c>
      <c r="E56" s="224"/>
    </row>
    <row r="57" spans="1:5">
      <c r="A57" t="s">
        <v>252</v>
      </c>
      <c r="D57" s="95">
        <f>SUM(D51:D55)</f>
        <v>2.4020833333333335E-2</v>
      </c>
      <c r="E57" s="224"/>
    </row>
    <row r="58" spans="1:5">
      <c r="E58" s="224"/>
    </row>
  </sheetData>
  <pageMargins left="0.7" right="0.7" top="0.75" bottom="0.75" header="0.3" footer="0.3"/>
  <pageSetup orientation="portrait" verticalDpi="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581E-A58B-4AB8-96C3-17B9CDDDC3B4}">
  <dimension ref="A1:B27"/>
  <sheetViews>
    <sheetView zoomScale="120" zoomScaleNormal="120" workbookViewId="0">
      <selection activeCell="B25" sqref="B25"/>
    </sheetView>
  </sheetViews>
  <sheetFormatPr baseColWidth="10" defaultColWidth="8.83203125" defaultRowHeight="15"/>
  <cols>
    <col min="1" max="1" width="53.33203125" customWidth="1"/>
    <col min="2" max="2" width="31.5" customWidth="1"/>
  </cols>
  <sheetData>
    <row r="1" spans="1:2" s="224" customFormat="1">
      <c r="A1" s="224" t="s">
        <v>407</v>
      </c>
    </row>
    <row r="2" spans="1:2" s="224" customFormat="1">
      <c r="A2" s="224" t="s">
        <v>416</v>
      </c>
    </row>
    <row r="3" spans="1:2">
      <c r="A3" s="5" t="s">
        <v>166</v>
      </c>
      <c r="B3" s="13" t="s">
        <v>219</v>
      </c>
    </row>
    <row r="4" spans="1:2">
      <c r="A4" s="5" t="s">
        <v>168</v>
      </c>
      <c r="B4" s="5">
        <v>3</v>
      </c>
    </row>
    <row r="5" spans="1:2">
      <c r="A5" s="5" t="s">
        <v>86</v>
      </c>
      <c r="B5" s="5">
        <f>IF((B11+B18)&gt;20,8,4)</f>
        <v>4</v>
      </c>
    </row>
    <row r="6" spans="1:2">
      <c r="A6" s="13" t="s">
        <v>410</v>
      </c>
      <c r="B6" s="5">
        <f>IF((B11+B18)&gt;20,32,16)</f>
        <v>16</v>
      </c>
    </row>
    <row r="7" spans="1:2" s="224" customFormat="1">
      <c r="A7" s="13" t="s">
        <v>406</v>
      </c>
      <c r="B7" s="5">
        <f>IF((B11+B18)&gt;20,16,8)</f>
        <v>8</v>
      </c>
    </row>
    <row r="10" spans="1:2" s="224" customFormat="1">
      <c r="A10" s="227" t="s">
        <v>228</v>
      </c>
    </row>
    <row r="11" spans="1:2" s="224" customFormat="1">
      <c r="A11" s="224" t="s">
        <v>229</v>
      </c>
      <c r="B11" s="82">
        <f>'Deployment input'!B21</f>
        <v>0</v>
      </c>
    </row>
    <row r="12" spans="1:2" s="224" customFormat="1">
      <c r="A12" s="68" t="s">
        <v>44</v>
      </c>
      <c r="B12" s="289">
        <f>'Deployment input'!B23</f>
        <v>40</v>
      </c>
    </row>
    <row r="13" spans="1:2">
      <c r="A13" s="224" t="s">
        <v>230</v>
      </c>
      <c r="B13" s="94">
        <f>'Deployment input'!B12+'Deployment input'!E11</f>
        <v>0</v>
      </c>
    </row>
    <row r="14" spans="1:2" s="224" customFormat="1">
      <c r="A14" s="224" t="s">
        <v>235</v>
      </c>
      <c r="B14" s="4">
        <f>'Deployment input'!B22</f>
        <v>360</v>
      </c>
    </row>
    <row r="15" spans="1:2" s="224" customFormat="1">
      <c r="A15" s="224" t="s">
        <v>231</v>
      </c>
      <c r="B15" s="94">
        <f>B13*B14</f>
        <v>0</v>
      </c>
    </row>
    <row r="17" spans="1:2">
      <c r="A17" s="227" t="s">
        <v>232</v>
      </c>
      <c r="B17" s="147"/>
    </row>
    <row r="18" spans="1:2">
      <c r="A18" s="224" t="s">
        <v>233</v>
      </c>
      <c r="B18" s="82">
        <f>'Deployment input'!B29</f>
        <v>0</v>
      </c>
    </row>
    <row r="19" spans="1:2">
      <c r="A19" s="224" t="s">
        <v>230</v>
      </c>
      <c r="B19" s="225">
        <f>'Deployment input'!B12*'Deployment input'!B28</f>
        <v>0</v>
      </c>
    </row>
    <row r="20" spans="1:2" s="224" customFormat="1">
      <c r="A20" s="224" t="s">
        <v>235</v>
      </c>
      <c r="B20" s="4">
        <f>'Deployment input'!B40</f>
        <v>90</v>
      </c>
    </row>
    <row r="21" spans="1:2" s="224" customFormat="1">
      <c r="A21" s="224" t="s">
        <v>231</v>
      </c>
      <c r="B21" s="94">
        <f>B19*B20</f>
        <v>0</v>
      </c>
    </row>
    <row r="22" spans="1:2" s="224" customFormat="1"/>
    <row r="23" spans="1:2">
      <c r="B23" s="147" t="s">
        <v>82</v>
      </c>
    </row>
    <row r="24" spans="1:2">
      <c r="A24" s="224" t="s">
        <v>246</v>
      </c>
      <c r="B24" s="91">
        <f>((55*B12*B15)/1024/1024/1024)</f>
        <v>0</v>
      </c>
    </row>
    <row r="25" spans="1:2">
      <c r="A25" s="224" t="s">
        <v>247</v>
      </c>
      <c r="B25" s="91">
        <f>(800*B21)/1024/1024/1024</f>
        <v>0</v>
      </c>
    </row>
    <row r="26" spans="1:2" ht="16" thickBot="1">
      <c r="A26" s="224" t="s">
        <v>413</v>
      </c>
      <c r="B26" s="96">
        <f>SUM(B24:B25)</f>
        <v>0</v>
      </c>
    </row>
    <row r="27" spans="1:2" ht="16" thickTop="1">
      <c r="A27" t="s">
        <v>412</v>
      </c>
      <c r="B27" s="91">
        <f>2*B26/B4</f>
        <v>0</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9"/>
  <sheetViews>
    <sheetView workbookViewId="0">
      <selection activeCell="E5" sqref="E5"/>
    </sheetView>
  </sheetViews>
  <sheetFormatPr baseColWidth="10" defaultColWidth="8.83203125" defaultRowHeight="15"/>
  <cols>
    <col min="1" max="1" width="31.83203125" bestFit="1" customWidth="1"/>
    <col min="2" max="2" width="17.5" customWidth="1"/>
    <col min="3" max="3" width="13" customWidth="1"/>
    <col min="4" max="5" width="14.5" bestFit="1" customWidth="1"/>
  </cols>
  <sheetData>
    <row r="1" spans="1:4" s="224" customFormat="1">
      <c r="A1" s="13" t="s">
        <v>415</v>
      </c>
      <c r="B1" s="5"/>
      <c r="C1" s="5"/>
      <c r="D1" s="5"/>
    </row>
    <row r="2" spans="1:4">
      <c r="A2" s="16" t="s">
        <v>166</v>
      </c>
      <c r="B2" s="32" t="s">
        <v>167</v>
      </c>
      <c r="C2" s="5"/>
      <c r="D2" s="5"/>
    </row>
    <row r="3" spans="1:4">
      <c r="A3" s="19" t="s">
        <v>168</v>
      </c>
      <c r="B3" s="33"/>
      <c r="C3" s="5"/>
      <c r="D3" s="5"/>
    </row>
    <row r="4" spans="1:4">
      <c r="A4" s="19" t="s">
        <v>170</v>
      </c>
      <c r="B4" s="33"/>
      <c r="C4" s="5"/>
      <c r="D4" s="5"/>
    </row>
    <row r="5" spans="1:4">
      <c r="A5" s="19" t="s">
        <v>171</v>
      </c>
      <c r="B5" s="33"/>
      <c r="C5" s="5"/>
      <c r="D5" s="5"/>
    </row>
    <row r="6" spans="1:4">
      <c r="A6" s="19" t="s">
        <v>172</v>
      </c>
      <c r="B6" s="33"/>
      <c r="C6" s="5"/>
      <c r="D6" s="5"/>
    </row>
    <row r="7" spans="1:4">
      <c r="A7" s="19" t="s">
        <v>81</v>
      </c>
      <c r="B7" s="33"/>
      <c r="C7" s="5"/>
      <c r="D7" s="5"/>
    </row>
    <row r="8" spans="1:4">
      <c r="A8" s="19" t="s">
        <v>173</v>
      </c>
      <c r="B8" s="33"/>
      <c r="C8" s="5"/>
      <c r="D8" s="5"/>
    </row>
    <row r="9" spans="1:4">
      <c r="A9" s="30" t="s">
        <v>175</v>
      </c>
      <c r="B9" s="35"/>
      <c r="C9" s="5"/>
      <c r="D9" s="5"/>
    </row>
    <row r="10" spans="1:4">
      <c r="A10" s="5"/>
      <c r="B10" s="5"/>
      <c r="C10" s="5"/>
      <c r="D10" s="5"/>
    </row>
    <row r="11" spans="1:4">
      <c r="A11" s="13" t="s">
        <v>253</v>
      </c>
      <c r="B11" s="5">
        <v>50</v>
      </c>
      <c r="C11" s="5"/>
      <c r="D11" s="5"/>
    </row>
    <row r="12" spans="1:4">
      <c r="A12" s="9" t="s">
        <v>79</v>
      </c>
      <c r="B12" s="5">
        <v>2.2799999999999998</v>
      </c>
      <c r="C12" s="5"/>
      <c r="D12" s="5"/>
    </row>
    <row r="13" spans="1:4">
      <c r="A13" s="13" t="s">
        <v>254</v>
      </c>
      <c r="B13" s="5">
        <v>2076</v>
      </c>
      <c r="C13" s="5"/>
      <c r="D13" s="5"/>
    </row>
    <row r="14" spans="1:4">
      <c r="A14" s="13" t="s">
        <v>255</v>
      </c>
      <c r="B14" s="5">
        <v>0</v>
      </c>
      <c r="C14" s="5"/>
      <c r="D14" s="5"/>
    </row>
    <row r="15" spans="1:4">
      <c r="A15" s="13" t="s">
        <v>256</v>
      </c>
      <c r="B15" s="5">
        <v>2</v>
      </c>
      <c r="C15" s="5"/>
      <c r="D15" s="5"/>
    </row>
    <row r="16" spans="1:4">
      <c r="A16" s="13" t="s">
        <v>257</v>
      </c>
      <c r="B16" s="5">
        <v>3.36</v>
      </c>
      <c r="C16" s="5"/>
      <c r="D16" s="5"/>
    </row>
    <row r="17" spans="1:5">
      <c r="A17" s="13" t="s">
        <v>258</v>
      </c>
      <c r="B17" s="5">
        <v>6</v>
      </c>
      <c r="C17" s="5"/>
      <c r="D17" s="5"/>
    </row>
    <row r="18" spans="1:5">
      <c r="A18" s="13" t="s">
        <v>259</v>
      </c>
      <c r="B18" s="5">
        <v>1.1100000000000001</v>
      </c>
      <c r="C18" s="5"/>
      <c r="D18" s="5"/>
    </row>
    <row r="20" spans="1:5">
      <c r="A20" t="s">
        <v>260</v>
      </c>
      <c r="B20" s="11">
        <f>'Deployment input'!B21</f>
        <v>0</v>
      </c>
    </row>
    <row r="21" spans="1:5">
      <c r="A21" s="13" t="s">
        <v>261</v>
      </c>
      <c r="B21" s="11">
        <f>'Deployment input'!B29</f>
        <v>0</v>
      </c>
    </row>
    <row r="22" spans="1:5">
      <c r="A22" s="13" t="s">
        <v>262</v>
      </c>
      <c r="B22" s="11">
        <f>B21</f>
        <v>0</v>
      </c>
    </row>
    <row r="23" spans="1:5">
      <c r="A23" s="10" t="s">
        <v>41</v>
      </c>
      <c r="B23" s="36">
        <f>SUM(B20:B22)</f>
        <v>0</v>
      </c>
    </row>
    <row r="24" spans="1:5">
      <c r="A24" t="s">
        <v>263</v>
      </c>
      <c r="B24" s="45">
        <f>RWS!B29</f>
        <v>0</v>
      </c>
    </row>
    <row r="25" spans="1:5">
      <c r="A25" t="s">
        <v>264</v>
      </c>
      <c r="B25" s="45">
        <f>RWS!B35</f>
        <v>0</v>
      </c>
    </row>
    <row r="28" spans="1:5">
      <c r="A28" s="37"/>
      <c r="B28" s="152" t="s">
        <v>79</v>
      </c>
      <c r="C28" s="152" t="s">
        <v>193</v>
      </c>
      <c r="D28" s="152" t="s">
        <v>81</v>
      </c>
      <c r="E28" s="146" t="s">
        <v>82</v>
      </c>
    </row>
    <row r="29" spans="1:5">
      <c r="A29" s="40" t="s">
        <v>265</v>
      </c>
      <c r="B29" s="103">
        <f>B23*B12/100</f>
        <v>0</v>
      </c>
      <c r="C29" s="100">
        <f>B13 +B14*B23</f>
        <v>2076</v>
      </c>
      <c r="D29" s="101">
        <f>(B15+(B20+B22)*B16)+(B17+B22*B18)</f>
        <v>8</v>
      </c>
      <c r="E29" s="104">
        <f>SUM(B24:B25)/100000*B11/1024</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workbookViewId="0"/>
  </sheetViews>
  <sheetFormatPr baseColWidth="10" defaultColWidth="8.83203125" defaultRowHeight="15"/>
  <cols>
    <col min="1" max="1" width="53.6640625" customWidth="1"/>
    <col min="2" max="2" width="14.5" bestFit="1" customWidth="1"/>
    <col min="3" max="3" width="11" customWidth="1"/>
  </cols>
  <sheetData>
    <row r="1" spans="1:3">
      <c r="A1" s="9" t="s">
        <v>79</v>
      </c>
      <c r="B1" s="5">
        <v>18.260000000000002</v>
      </c>
      <c r="C1" s="5"/>
    </row>
    <row r="2" spans="1:3" s="224" customFormat="1">
      <c r="A2" s="10" t="s">
        <v>369</v>
      </c>
      <c r="B2" s="5">
        <v>4</v>
      </c>
      <c r="C2" s="5"/>
    </row>
    <row r="3" spans="1:3" s="224" customFormat="1">
      <c r="A3" s="10" t="s">
        <v>370</v>
      </c>
      <c r="B3" s="5">
        <v>100</v>
      </c>
      <c r="C3" s="5"/>
    </row>
    <row r="5" spans="1:3">
      <c r="A5" s="268" t="s">
        <v>266</v>
      </c>
      <c r="B5" s="36">
        <f>'Deployment input'!B21+'Deployment input'!B29</f>
        <v>0</v>
      </c>
    </row>
    <row r="6" spans="1:3" s="224" customFormat="1">
      <c r="A6" s="269" t="s">
        <v>367</v>
      </c>
      <c r="B6" s="267">
        <f>'Deployment input'!B21*'Voice recording storage'!B10</f>
        <v>0</v>
      </c>
    </row>
    <row r="7" spans="1:3" s="224" customFormat="1">
      <c r="A7" s="269" t="s">
        <v>368</v>
      </c>
      <c r="B7" s="267">
        <f>'Deployment input'!B29*'Screen recording storage'!B20</f>
        <v>0</v>
      </c>
    </row>
    <row r="8" spans="1:3" s="224" customFormat="1">
      <c r="A8" s="269" t="s">
        <v>371</v>
      </c>
      <c r="B8" s="267">
        <f>'Deployment input'!B29*'Screen recording storage'!B21</f>
        <v>0</v>
      </c>
    </row>
    <row r="9" spans="1:3" s="224" customFormat="1">
      <c r="A9" s="269" t="s">
        <v>372</v>
      </c>
      <c r="B9" s="267">
        <f>'Deployment input'!B29*'Screen recording storage'!B21</f>
        <v>0</v>
      </c>
    </row>
    <row r="10" spans="1:3" s="224" customFormat="1">
      <c r="A10" s="269" t="s">
        <v>373</v>
      </c>
      <c r="B10" s="267">
        <f>('Deployment input'!B24+'Deployment input'!B25)*'Voice recording storage'!B5/8</f>
        <v>100</v>
      </c>
    </row>
    <row r="11" spans="1:3" s="224" customFormat="1">
      <c r="A11" s="269" t="s">
        <v>374</v>
      </c>
      <c r="B11" s="267">
        <f>'Deployment input'!B41*'Screen recording storage'!B12/60</f>
        <v>837.5</v>
      </c>
    </row>
    <row r="12" spans="1:3" s="224" customFormat="1">
      <c r="A12" s="269" t="s">
        <v>375</v>
      </c>
      <c r="B12" s="267">
        <f>(B8+B10+B11)/B3</f>
        <v>9.375</v>
      </c>
    </row>
    <row r="13" spans="1:3">
      <c r="A13" s="269" t="s">
        <v>376</v>
      </c>
      <c r="B13" s="267">
        <f>(B6+B7+B9)/B2</f>
        <v>0</v>
      </c>
    </row>
    <row r="15" spans="1:3">
      <c r="A15" s="37"/>
      <c r="B15" s="152" t="s">
        <v>79</v>
      </c>
      <c r="C15" s="152" t="s">
        <v>81</v>
      </c>
    </row>
    <row r="16" spans="1:3">
      <c r="A16" s="40" t="s">
        <v>363</v>
      </c>
      <c r="B16" s="103">
        <f>B5*B1/100</f>
        <v>0</v>
      </c>
      <c r="C16" s="270">
        <f>B13</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8"/>
  <sheetViews>
    <sheetView topLeftCell="A16" workbookViewId="0">
      <selection activeCell="D53" sqref="D53"/>
    </sheetView>
  </sheetViews>
  <sheetFormatPr baseColWidth="10" defaultColWidth="8.83203125" defaultRowHeight="15"/>
  <cols>
    <col min="1" max="1" width="69.5" customWidth="1"/>
    <col min="2" max="2" width="34.5" customWidth="1"/>
    <col min="3" max="4" width="34.5" style="224" customWidth="1"/>
    <col min="5" max="5" width="25.83203125" customWidth="1"/>
    <col min="6" max="6" width="17.5" customWidth="1"/>
  </cols>
  <sheetData>
    <row r="1" spans="1:5">
      <c r="A1" s="5" t="s">
        <v>267</v>
      </c>
      <c r="B1" s="5">
        <v>10</v>
      </c>
      <c r="C1"/>
      <c r="D1"/>
    </row>
    <row r="2" spans="1:5">
      <c r="A2" s="5" t="s">
        <v>268</v>
      </c>
      <c r="B2" s="5">
        <v>0.1</v>
      </c>
      <c r="C2"/>
      <c r="D2"/>
    </row>
    <row r="3" spans="1:5" s="224" customFormat="1">
      <c r="A3" s="13" t="s">
        <v>423</v>
      </c>
      <c r="B3" s="5">
        <v>16</v>
      </c>
      <c r="C3" s="14"/>
      <c r="D3" s="14"/>
    </row>
    <row r="4" spans="1:5" s="224" customFormat="1">
      <c r="A4" s="13" t="s">
        <v>339</v>
      </c>
      <c r="B4" s="5">
        <f>300+(80*'Deployment input'!B23)</f>
        <v>3500</v>
      </c>
      <c r="C4" s="14"/>
      <c r="D4" s="14"/>
    </row>
    <row r="5" spans="1:5" s="224" customFormat="1">
      <c r="A5" s="13" t="s">
        <v>424</v>
      </c>
      <c r="B5" s="5">
        <v>30000000</v>
      </c>
      <c r="C5" s="14"/>
      <c r="D5" s="14"/>
    </row>
    <row r="6" spans="1:5">
      <c r="C6"/>
      <c r="D6"/>
    </row>
    <row r="7" spans="1:5">
      <c r="A7" t="s">
        <v>230</v>
      </c>
      <c r="B7" s="142">
        <f>'Deployment input'!B12+'Deployment input'!E11</f>
        <v>0</v>
      </c>
      <c r="C7"/>
      <c r="D7"/>
    </row>
    <row r="8" spans="1:5">
      <c r="A8" t="s">
        <v>43</v>
      </c>
      <c r="B8" s="4">
        <f>'Deployment input'!B22</f>
        <v>360</v>
      </c>
      <c r="C8"/>
      <c r="D8"/>
    </row>
    <row r="9" spans="1:5">
      <c r="A9" t="s">
        <v>231</v>
      </c>
      <c r="B9" s="142">
        <f>B7*B8</f>
        <v>0</v>
      </c>
      <c r="C9"/>
      <c r="D9"/>
    </row>
    <row r="10" spans="1:5">
      <c r="A10" t="s">
        <v>269</v>
      </c>
      <c r="B10" s="1">
        <f>'Deployment input'!B8</f>
        <v>0</v>
      </c>
      <c r="C10"/>
      <c r="D10"/>
    </row>
    <row r="11" spans="1:5">
      <c r="A11" s="224" t="s">
        <v>46</v>
      </c>
      <c r="B11" s="142">
        <f>'Deployment input'!B24</f>
        <v>50</v>
      </c>
      <c r="C11"/>
      <c r="D11"/>
    </row>
    <row r="12" spans="1:5" s="224" customFormat="1">
      <c r="A12" s="224" t="s">
        <v>179</v>
      </c>
      <c r="B12" s="142">
        <f>'Deployment input'!B21</f>
        <v>0</v>
      </c>
    </row>
    <row r="13" spans="1:5" s="224" customFormat="1">
      <c r="A13" s="224" t="s">
        <v>338</v>
      </c>
      <c r="B13" s="142">
        <f>'Deployment input'!B44+1</f>
        <v>2</v>
      </c>
      <c r="C13" s="14"/>
    </row>
    <row r="14" spans="1:5" s="224" customFormat="1">
      <c r="A14" s="224" t="s">
        <v>340</v>
      </c>
      <c r="B14" s="142">
        <f>B9*B13</f>
        <v>0</v>
      </c>
      <c r="C14" s="14"/>
    </row>
    <row r="15" spans="1:5" s="224" customFormat="1"/>
    <row r="16" spans="1:5">
      <c r="A16" s="37" t="s">
        <v>270</v>
      </c>
      <c r="B16" s="248" t="s">
        <v>320</v>
      </c>
      <c r="C16" s="248" t="s">
        <v>321</v>
      </c>
      <c r="D16" s="249" t="s">
        <v>322</v>
      </c>
      <c r="E16" s="68"/>
    </row>
    <row r="17" spans="1:5">
      <c r="A17" s="40" t="s">
        <v>271</v>
      </c>
      <c r="B17" s="250">
        <f>B9/100000*B2+B1</f>
        <v>10</v>
      </c>
      <c r="C17" s="250">
        <f>0.5*B17</f>
        <v>5</v>
      </c>
      <c r="D17" s="251">
        <f>0.25*B17</f>
        <v>2.5</v>
      </c>
      <c r="E17" s="262"/>
    </row>
    <row r="19" spans="1:5">
      <c r="A19" s="140" t="s">
        <v>272</v>
      </c>
      <c r="B19" s="140" t="s">
        <v>79</v>
      </c>
      <c r="C19" s="140" t="s">
        <v>92</v>
      </c>
      <c r="D19"/>
    </row>
    <row r="20" spans="1:5" ht="16">
      <c r="A20" s="141" t="s">
        <v>273</v>
      </c>
      <c r="B20" s="259" t="s">
        <v>344</v>
      </c>
      <c r="C20" s="140" t="s">
        <v>318</v>
      </c>
      <c r="D20" s="14"/>
    </row>
    <row r="21" spans="1:5">
      <c r="A21" s="140" t="s">
        <v>93</v>
      </c>
      <c r="B21" s="259" t="s">
        <v>344</v>
      </c>
      <c r="C21" s="140" t="s">
        <v>318</v>
      </c>
      <c r="D21" s="14"/>
    </row>
    <row r="22" spans="1:5">
      <c r="A22" s="140" t="s">
        <v>94</v>
      </c>
      <c r="B22" s="259" t="s">
        <v>344</v>
      </c>
      <c r="C22" s="140" t="s">
        <v>318</v>
      </c>
      <c r="D22" s="14"/>
    </row>
    <row r="23" spans="1:5">
      <c r="A23" s="140" t="s">
        <v>274</v>
      </c>
      <c r="B23" s="259" t="s">
        <v>344</v>
      </c>
      <c r="C23" s="140" t="s">
        <v>318</v>
      </c>
      <c r="D23" s="14"/>
    </row>
    <row r="24" spans="1:5">
      <c r="A24" s="140" t="s">
        <v>275</v>
      </c>
      <c r="B24" s="259" t="s">
        <v>344</v>
      </c>
      <c r="C24" s="140" t="s">
        <v>277</v>
      </c>
      <c r="D24" s="14"/>
    </row>
    <row r="25" spans="1:5">
      <c r="A25" s="140" t="s">
        <v>276</v>
      </c>
      <c r="B25" s="259" t="s">
        <v>345</v>
      </c>
      <c r="C25" s="140" t="s">
        <v>279</v>
      </c>
      <c r="D25" s="14"/>
    </row>
    <row r="26" spans="1:5">
      <c r="A26" s="140" t="s">
        <v>278</v>
      </c>
      <c r="B26" s="259" t="s">
        <v>346</v>
      </c>
      <c r="C26" s="140" t="s">
        <v>317</v>
      </c>
      <c r="D26" s="14"/>
    </row>
    <row r="27" spans="1:5" s="224" customFormat="1">
      <c r="A27" s="259" t="s">
        <v>347</v>
      </c>
      <c r="B27" s="259" t="s">
        <v>348</v>
      </c>
      <c r="C27" s="259" t="s">
        <v>334</v>
      </c>
      <c r="D27" s="14"/>
    </row>
    <row r="28" spans="1:5" s="224" customFormat="1">
      <c r="A28" s="259" t="s">
        <v>421</v>
      </c>
      <c r="B28" s="259" t="s">
        <v>349</v>
      </c>
      <c r="C28" s="259" t="s">
        <v>334</v>
      </c>
      <c r="D28" s="14"/>
    </row>
    <row r="29" spans="1:5" s="291" customFormat="1" ht="17" customHeight="1">
      <c r="A29" s="290" t="s">
        <v>422</v>
      </c>
      <c r="B29" s="290" t="s">
        <v>350</v>
      </c>
      <c r="C29" s="293" t="s">
        <v>279</v>
      </c>
      <c r="D29" s="294"/>
    </row>
    <row r="31" spans="1:5">
      <c r="A31" s="140" t="s">
        <v>280</v>
      </c>
      <c r="B31" s="140" t="s">
        <v>269</v>
      </c>
      <c r="C31"/>
      <c r="D31"/>
    </row>
    <row r="32" spans="1:5">
      <c r="A32" s="140" t="s">
        <v>281</v>
      </c>
      <c r="B32" s="140">
        <v>260</v>
      </c>
      <c r="C32"/>
      <c r="D32"/>
    </row>
    <row r="33" spans="1:4">
      <c r="A33" s="140" t="s">
        <v>282</v>
      </c>
      <c r="B33" s="140">
        <v>625</v>
      </c>
      <c r="C33"/>
      <c r="D33"/>
    </row>
    <row r="34" spans="1:4">
      <c r="A34" s="140" t="s">
        <v>283</v>
      </c>
      <c r="B34" s="140">
        <v>3000</v>
      </c>
      <c r="C34"/>
      <c r="D34"/>
    </row>
    <row r="35" spans="1:4">
      <c r="A35" s="140" t="s">
        <v>284</v>
      </c>
      <c r="B35" s="140">
        <v>7000</v>
      </c>
      <c r="C35"/>
      <c r="D35"/>
    </row>
    <row r="36" spans="1:4" s="224" customFormat="1">
      <c r="A36" s="247"/>
      <c r="B36" s="247"/>
    </row>
    <row r="37" spans="1:4" ht="16">
      <c r="A37" s="141" t="s">
        <v>425</v>
      </c>
      <c r="B37" s="141">
        <v>120</v>
      </c>
    </row>
    <row r="38" spans="1:4" ht="16">
      <c r="A38" s="141" t="s">
        <v>324</v>
      </c>
      <c r="B38" s="141">
        <v>20</v>
      </c>
    </row>
    <row r="39" spans="1:4" s="224" customFormat="1"/>
    <row r="40" spans="1:4">
      <c r="A40" s="261" t="s">
        <v>285</v>
      </c>
      <c r="B40" s="261" t="s">
        <v>79</v>
      </c>
      <c r="C40" s="261" t="s">
        <v>92</v>
      </c>
      <c r="D40" s="227"/>
    </row>
    <row r="41" spans="1:4">
      <c r="A41" s="140" t="str">
        <f>IF($B$10&gt;$B$34,"xlarge",IF($B$10&gt;$B$33,"large",IF($B$10&gt;$B$32,"medium","small")))</f>
        <v>small</v>
      </c>
      <c r="B41" s="140" t="str">
        <f>IF($B$10&gt;$B$34,B$26,IF($B$10&gt;$B$33,B$25,IF($B$10&gt;$B$32,B$24,B$23)))</f>
        <v>Dual 8-Core Xeon Silver 4110 2.1GHz</v>
      </c>
      <c r="C41" s="140" t="str">
        <f>IF($B$10&gt;$B$34,C$26,IF($B$10&gt;$B$33,C$25,IF($B$10&gt;$B$32,C$24,C$23)))</f>
        <v>16GB</v>
      </c>
    </row>
    <row r="43" spans="1:4" ht="16">
      <c r="A43" s="141" t="s">
        <v>319</v>
      </c>
      <c r="B43" s="141">
        <f>ROUNDUP(B11/B37,0)</f>
        <v>1</v>
      </c>
      <c r="C43"/>
      <c r="D43"/>
    </row>
    <row r="44" spans="1:4" ht="16">
      <c r="A44" s="141" t="s">
        <v>323</v>
      </c>
      <c r="B44" s="141">
        <f>ROUNDUP(B12/B38,0)</f>
        <v>0</v>
      </c>
    </row>
    <row r="45" spans="1:4" ht="13.5" customHeight="1">
      <c r="A45" s="260" t="s">
        <v>341</v>
      </c>
      <c r="B45" s="141">
        <v>3</v>
      </c>
      <c r="D45" s="14"/>
    </row>
    <row r="46" spans="1:4" ht="16">
      <c r="A46" s="141" t="s">
        <v>342</v>
      </c>
      <c r="B46" s="141">
        <f>ROUNDUP(MAX(2, B9/(B5*B3)),0)</f>
        <v>2</v>
      </c>
      <c r="D46" s="14"/>
    </row>
    <row r="47" spans="1:4" s="224" customFormat="1" ht="16">
      <c r="A47" s="260" t="s">
        <v>351</v>
      </c>
      <c r="B47" s="141">
        <v>2</v>
      </c>
      <c r="D47" s="14"/>
    </row>
    <row r="48" spans="1:4" ht="32">
      <c r="A48" s="292" t="s">
        <v>343</v>
      </c>
      <c r="B48" s="295">
        <f>B14*B4/B46/1000000000</f>
        <v>0</v>
      </c>
      <c r="C48" s="294" t="s">
        <v>420</v>
      </c>
      <c r="D48" s="14"/>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F60"/>
  <sheetViews>
    <sheetView workbookViewId="0"/>
  </sheetViews>
  <sheetFormatPr baseColWidth="10" defaultColWidth="8.83203125" defaultRowHeight="13"/>
  <cols>
    <col min="1" max="1" width="53.83203125" style="158" customWidth="1"/>
    <col min="2" max="2" width="16" style="158" customWidth="1"/>
    <col min="3" max="5" width="14.1640625" style="158" customWidth="1"/>
    <col min="6" max="6" width="18.5" style="153" customWidth="1"/>
    <col min="7" max="16384" width="8.83203125" style="153"/>
  </cols>
  <sheetData>
    <row r="1" spans="1:6" ht="33" customHeight="1" thickTop="1" thickBot="1">
      <c r="A1" s="179" t="s">
        <v>6</v>
      </c>
      <c r="B1" s="299" t="s">
        <v>7</v>
      </c>
      <c r="C1" s="299"/>
      <c r="D1" s="299"/>
      <c r="E1" s="299"/>
      <c r="F1" s="299"/>
    </row>
    <row r="2" spans="1:6" ht="27" customHeight="1" thickBot="1">
      <c r="A2" s="154"/>
      <c r="B2" s="187" t="s">
        <v>8</v>
      </c>
      <c r="C2" s="187" t="s">
        <v>287</v>
      </c>
      <c r="D2" s="218" t="s">
        <v>288</v>
      </c>
      <c r="E2" s="240" t="s">
        <v>296</v>
      </c>
      <c r="F2" s="212" t="s">
        <v>316</v>
      </c>
    </row>
    <row r="3" spans="1:6" ht="25.5" customHeight="1">
      <c r="A3" s="216" t="s">
        <v>9</v>
      </c>
      <c r="B3" s="217"/>
      <c r="C3" s="217"/>
      <c r="D3" s="217"/>
      <c r="E3" s="217"/>
      <c r="F3" s="217"/>
    </row>
    <row r="4" spans="1:6" ht="17" customHeight="1" thickBot="1">
      <c r="A4" s="188" t="s">
        <v>10</v>
      </c>
      <c r="B4" s="213" t="s">
        <v>11</v>
      </c>
      <c r="C4" s="213"/>
      <c r="D4" s="213"/>
      <c r="E4" s="213"/>
      <c r="F4" s="241" t="s">
        <v>11</v>
      </c>
    </row>
    <row r="5" spans="1:6" ht="17" customHeight="1" thickBot="1">
      <c r="A5" s="177" t="s">
        <v>12</v>
      </c>
      <c r="B5" s="214" t="s">
        <v>11</v>
      </c>
      <c r="C5" s="214"/>
      <c r="D5" s="214"/>
      <c r="E5" s="214"/>
      <c r="F5" s="242"/>
    </row>
    <row r="6" spans="1:6" ht="17" customHeight="1" thickBot="1">
      <c r="A6" s="177" t="s">
        <v>13</v>
      </c>
      <c r="B6" s="214" t="s">
        <v>11</v>
      </c>
      <c r="C6" s="214"/>
      <c r="D6" s="214" t="s">
        <v>11</v>
      </c>
      <c r="E6" s="214" t="s">
        <v>11</v>
      </c>
      <c r="F6" s="242"/>
    </row>
    <row r="7" spans="1:6" ht="17" customHeight="1" thickBot="1">
      <c r="A7" s="177" t="s">
        <v>14</v>
      </c>
      <c r="B7" s="214" t="s">
        <v>11</v>
      </c>
      <c r="C7" s="214" t="s">
        <v>11</v>
      </c>
      <c r="D7" s="214"/>
      <c r="E7" s="214"/>
      <c r="F7" s="242"/>
    </row>
    <row r="8" spans="1:6" ht="17" customHeight="1" thickBot="1">
      <c r="A8" s="177" t="s">
        <v>331</v>
      </c>
      <c r="B8" s="214" t="s">
        <v>11</v>
      </c>
      <c r="C8" s="214" t="s">
        <v>11</v>
      </c>
      <c r="D8" s="214"/>
      <c r="E8" s="214" t="s">
        <v>11</v>
      </c>
      <c r="F8" s="242"/>
    </row>
    <row r="9" spans="1:6" ht="17" customHeight="1" thickBot="1">
      <c r="A9" s="177" t="s">
        <v>15</v>
      </c>
      <c r="B9" s="214" t="s">
        <v>11</v>
      </c>
      <c r="C9" s="214"/>
      <c r="D9" s="214"/>
      <c r="E9" s="214"/>
      <c r="F9" s="242"/>
    </row>
    <row r="10" spans="1:6" ht="25.5" customHeight="1">
      <c r="A10" s="216" t="s">
        <v>16</v>
      </c>
      <c r="B10" s="243"/>
      <c r="C10" s="243"/>
      <c r="D10" s="243"/>
      <c r="E10" s="243"/>
      <c r="F10" s="243"/>
    </row>
    <row r="11" spans="1:6" ht="17" customHeight="1" thickBot="1">
      <c r="A11" s="188" t="s">
        <v>17</v>
      </c>
      <c r="B11" s="213" t="s">
        <v>11</v>
      </c>
      <c r="C11" s="213"/>
      <c r="D11" s="213"/>
      <c r="E11" s="213"/>
      <c r="F11" s="241"/>
    </row>
    <row r="12" spans="1:6" ht="17" customHeight="1" thickBot="1">
      <c r="A12" s="177" t="s">
        <v>18</v>
      </c>
      <c r="B12" s="214" t="s">
        <v>11</v>
      </c>
      <c r="C12" s="214"/>
      <c r="D12" s="214"/>
      <c r="E12" s="214"/>
      <c r="F12" s="242"/>
    </row>
    <row r="13" spans="1:6" ht="25.5" customHeight="1">
      <c r="A13" s="216" t="s">
        <v>19</v>
      </c>
      <c r="B13" s="243"/>
      <c r="C13" s="243"/>
      <c r="D13" s="243"/>
      <c r="E13" s="243"/>
      <c r="F13" s="243"/>
    </row>
    <row r="14" spans="1:6" ht="17" customHeight="1" thickBot="1">
      <c r="A14" s="188" t="s">
        <v>20</v>
      </c>
      <c r="B14" s="213" t="s">
        <v>11</v>
      </c>
      <c r="C14" s="213"/>
      <c r="D14" s="213"/>
      <c r="E14" s="213"/>
      <c r="F14" s="241"/>
    </row>
    <row r="15" spans="1:6" ht="17" customHeight="1" thickBot="1">
      <c r="A15" s="178" t="s">
        <v>21</v>
      </c>
      <c r="B15" s="215" t="s">
        <v>11</v>
      </c>
      <c r="C15" s="215"/>
      <c r="D15" s="215"/>
      <c r="E15" s="215"/>
      <c r="F15" s="244"/>
    </row>
    <row r="16" spans="1:6" ht="14" thickTop="1">
      <c r="A16" s="155"/>
      <c r="B16" s="155"/>
      <c r="C16" s="156"/>
      <c r="D16" s="156"/>
      <c r="E16" s="156"/>
    </row>
    <row r="17" spans="1:5">
      <c r="A17" s="155"/>
      <c r="B17" s="155"/>
      <c r="C17" s="157"/>
      <c r="D17" s="157"/>
      <c r="E17" s="157"/>
    </row>
    <row r="18" spans="1:5">
      <c r="A18" s="155"/>
      <c r="B18" s="155"/>
      <c r="C18" s="157"/>
      <c r="D18" s="157"/>
      <c r="E18" s="157"/>
    </row>
    <row r="24" spans="1:5">
      <c r="A24" s="153"/>
      <c r="B24" s="153"/>
    </row>
    <row r="25" spans="1:5">
      <c r="A25" s="153"/>
      <c r="B25" s="153"/>
    </row>
    <row r="26" spans="1:5">
      <c r="A26" s="153"/>
      <c r="B26" s="153"/>
    </row>
    <row r="27" spans="1:5">
      <c r="A27" s="153"/>
      <c r="B27" s="153"/>
    </row>
    <row r="32" spans="1:5">
      <c r="C32" s="159"/>
      <c r="D32" s="159"/>
      <c r="E32" s="159"/>
    </row>
    <row r="33" spans="1:5">
      <c r="C33" s="159"/>
      <c r="D33" s="159"/>
      <c r="E33" s="159"/>
    </row>
    <row r="34" spans="1:5">
      <c r="C34" s="159"/>
      <c r="D34" s="159"/>
      <c r="E34" s="159"/>
    </row>
    <row r="35" spans="1:5">
      <c r="C35" s="159"/>
      <c r="D35" s="159"/>
      <c r="E35" s="159"/>
    </row>
    <row r="36" spans="1:5">
      <c r="C36" s="159"/>
      <c r="D36" s="159"/>
      <c r="E36" s="159"/>
    </row>
    <row r="37" spans="1:5">
      <c r="C37" s="159"/>
      <c r="D37" s="159"/>
      <c r="E37" s="159"/>
    </row>
    <row r="38" spans="1:5">
      <c r="C38" s="157"/>
      <c r="D38" s="157"/>
      <c r="E38" s="157"/>
    </row>
    <row r="39" spans="1:5">
      <c r="C39" s="157"/>
      <c r="D39" s="157"/>
      <c r="E39" s="157"/>
    </row>
    <row r="44" spans="1:5">
      <c r="A44" s="157"/>
      <c r="B44" s="157"/>
      <c r="C44" s="160"/>
      <c r="D44" s="160"/>
      <c r="E44" s="160"/>
    </row>
    <row r="45" spans="1:5">
      <c r="A45" s="156"/>
      <c r="B45" s="156"/>
      <c r="C45" s="156"/>
      <c r="D45" s="156"/>
      <c r="E45" s="156"/>
    </row>
    <row r="46" spans="1:5">
      <c r="A46" s="156"/>
      <c r="B46" s="156"/>
      <c r="C46" s="156"/>
      <c r="D46" s="156"/>
      <c r="E46" s="156"/>
    </row>
    <row r="47" spans="1:5">
      <c r="A47" s="156"/>
      <c r="B47" s="156"/>
      <c r="C47" s="156"/>
      <c r="D47" s="156"/>
      <c r="E47" s="156"/>
    </row>
    <row r="48" spans="1:5">
      <c r="A48" s="156"/>
      <c r="B48" s="156"/>
      <c r="C48" s="156"/>
      <c r="D48" s="156"/>
      <c r="E48" s="156"/>
    </row>
    <row r="49" spans="1:5">
      <c r="A49" s="156"/>
      <c r="B49" s="156"/>
      <c r="C49" s="156"/>
      <c r="D49" s="156"/>
      <c r="E49" s="156"/>
    </row>
    <row r="50" spans="1:5">
      <c r="A50" s="156"/>
      <c r="B50" s="156"/>
      <c r="C50" s="156"/>
      <c r="D50" s="156"/>
      <c r="E50" s="156"/>
    </row>
    <row r="51" spans="1:5">
      <c r="A51" s="156"/>
      <c r="B51" s="156"/>
      <c r="C51" s="156"/>
      <c r="D51" s="156"/>
      <c r="E51" s="156"/>
    </row>
    <row r="52" spans="1:5">
      <c r="A52" s="156"/>
      <c r="B52" s="156"/>
      <c r="C52" s="156"/>
      <c r="D52" s="156"/>
      <c r="E52" s="156"/>
    </row>
    <row r="53" spans="1:5">
      <c r="A53" s="156"/>
      <c r="B53" s="156"/>
      <c r="C53" s="156"/>
      <c r="D53" s="156"/>
      <c r="E53" s="156"/>
    </row>
    <row r="54" spans="1:5">
      <c r="A54" s="156"/>
      <c r="B54" s="156"/>
      <c r="C54" s="156"/>
      <c r="D54" s="156"/>
      <c r="E54" s="156"/>
    </row>
    <row r="55" spans="1:5">
      <c r="A55" s="156"/>
      <c r="B55" s="156"/>
      <c r="C55" s="156"/>
      <c r="D55" s="156"/>
      <c r="E55" s="156"/>
    </row>
    <row r="56" spans="1:5">
      <c r="A56" s="156"/>
      <c r="B56" s="156"/>
      <c r="C56" s="156"/>
      <c r="D56" s="156"/>
      <c r="E56" s="156"/>
    </row>
    <row r="57" spans="1:5">
      <c r="A57" s="156"/>
      <c r="B57" s="156"/>
      <c r="C57" s="156"/>
      <c r="D57" s="156"/>
      <c r="E57" s="156"/>
    </row>
    <row r="58" spans="1:5">
      <c r="A58" s="156"/>
      <c r="B58" s="156"/>
      <c r="C58" s="156"/>
      <c r="D58" s="156"/>
      <c r="E58" s="156"/>
    </row>
    <row r="59" spans="1:5">
      <c r="A59" s="157"/>
      <c r="B59" s="157"/>
      <c r="C59" s="157"/>
      <c r="D59" s="157"/>
      <c r="E59" s="157"/>
    </row>
    <row r="60" spans="1:5">
      <c r="A60" s="155"/>
      <c r="B60" s="155"/>
      <c r="C60" s="155"/>
      <c r="D60" s="155"/>
      <c r="E60" s="155"/>
    </row>
  </sheetData>
  <mergeCells count="1">
    <mergeCell ref="B1:F1"/>
  </mergeCells>
  <printOptions horizontalCentered="1"/>
  <pageMargins left="0.75" right="0.75" top="1" bottom="1" header="0.5" footer="0.5"/>
  <pageSetup orientation="landscape" r:id="rId1"/>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topLeftCell="A2" zoomScale="115" zoomScaleNormal="115" workbookViewId="0">
      <selection activeCell="H20" sqref="H20"/>
    </sheetView>
  </sheetViews>
  <sheetFormatPr baseColWidth="10" defaultColWidth="8.83203125" defaultRowHeight="15"/>
  <cols>
    <col min="1" max="1" width="48.5" customWidth="1"/>
    <col min="2" max="2" width="26.33203125" customWidth="1"/>
    <col min="3" max="3" width="5.5" customWidth="1"/>
    <col min="4" max="4" width="78.1640625" customWidth="1"/>
    <col min="5" max="5" width="18.5" customWidth="1"/>
  </cols>
  <sheetData>
    <row r="1" spans="1:6" ht="19">
      <c r="A1" s="211" t="s">
        <v>354</v>
      </c>
      <c r="B1" s="38"/>
      <c r="C1" s="38"/>
      <c r="D1" s="38"/>
      <c r="E1" s="39"/>
    </row>
    <row r="2" spans="1:6" ht="56" customHeight="1">
      <c r="A2" s="300" t="s">
        <v>355</v>
      </c>
      <c r="B2" s="301"/>
      <c r="C2" s="301"/>
      <c r="D2" s="301"/>
      <c r="E2" s="302"/>
    </row>
    <row r="5" spans="1:6">
      <c r="A5" s="70" t="s">
        <v>22</v>
      </c>
      <c r="B5" s="71"/>
    </row>
    <row r="7" spans="1:6">
      <c r="A7" s="69" t="s">
        <v>23</v>
      </c>
      <c r="B7" s="39"/>
      <c r="D7" s="69" t="s">
        <v>24</v>
      </c>
      <c r="E7" s="39"/>
    </row>
    <row r="8" spans="1:6">
      <c r="A8" s="42" t="s">
        <v>25</v>
      </c>
      <c r="B8" s="52"/>
      <c r="D8" s="42" t="s">
        <v>298</v>
      </c>
      <c r="E8" s="228">
        <f>E12+E13</f>
        <v>0</v>
      </c>
    </row>
    <row r="9" spans="1:6">
      <c r="A9" s="42" t="s">
        <v>26</v>
      </c>
      <c r="B9" s="55">
        <v>1</v>
      </c>
      <c r="D9" s="42" t="s">
        <v>27</v>
      </c>
      <c r="E9" s="52">
        <v>0</v>
      </c>
    </row>
    <row r="10" spans="1:6">
      <c r="A10" s="42" t="s">
        <v>28</v>
      </c>
      <c r="B10" s="55">
        <v>0.8</v>
      </c>
      <c r="D10" s="42" t="s">
        <v>29</v>
      </c>
      <c r="E10" s="122">
        <f>IF(E9&gt;0,E8*3600/E9,0)</f>
        <v>0</v>
      </c>
    </row>
    <row r="11" spans="1:6">
      <c r="A11" s="42" t="s">
        <v>29</v>
      </c>
      <c r="B11" s="56">
        <f>B8*B10*3600/B15*B9</f>
        <v>0</v>
      </c>
      <c r="D11" s="42" t="s">
        <v>30</v>
      </c>
      <c r="E11" s="1">
        <v>0</v>
      </c>
    </row>
    <row r="12" spans="1:6">
      <c r="A12" s="42" t="s">
        <v>30</v>
      </c>
      <c r="B12" s="2"/>
      <c r="D12" s="42" t="s">
        <v>299</v>
      </c>
      <c r="E12" s="225">
        <v>0</v>
      </c>
    </row>
    <row r="13" spans="1:6">
      <c r="A13" s="42" t="s">
        <v>31</v>
      </c>
      <c r="B13" s="57">
        <v>1</v>
      </c>
      <c r="D13" s="226" t="s">
        <v>300</v>
      </c>
      <c r="E13" s="225">
        <v>0</v>
      </c>
    </row>
    <row r="14" spans="1:6" ht="16">
      <c r="A14" s="58" t="s">
        <v>32</v>
      </c>
      <c r="B14" s="59">
        <f>(1+B16+B17)*B11*B13/3600</f>
        <v>0</v>
      </c>
      <c r="D14" s="226" t="s">
        <v>306</v>
      </c>
      <c r="E14" s="225">
        <v>0</v>
      </c>
      <c r="F14" s="113">
        <f>IF(OR(AND(E14=0, E16&lt;&gt;0), AND(E14&lt;&gt;0,E16=0)),1,0)</f>
        <v>0</v>
      </c>
    </row>
    <row r="15" spans="1:6">
      <c r="A15" s="42" t="s">
        <v>34</v>
      </c>
      <c r="B15" s="60">
        <v>240</v>
      </c>
      <c r="D15" s="42"/>
      <c r="E15" s="53"/>
    </row>
    <row r="16" spans="1:6">
      <c r="A16" s="42" t="s">
        <v>35</v>
      </c>
      <c r="B16" s="61">
        <v>0.1</v>
      </c>
      <c r="D16" s="40" t="s">
        <v>33</v>
      </c>
      <c r="E16" s="54">
        <f>E10/3600</f>
        <v>0</v>
      </c>
    </row>
    <row r="17" spans="1:7">
      <c r="A17" s="40" t="s">
        <v>36</v>
      </c>
      <c r="B17" s="67">
        <v>0</v>
      </c>
      <c r="D17" s="68"/>
    </row>
    <row r="18" spans="1:7">
      <c r="B18" s="3"/>
    </row>
    <row r="19" spans="1:7">
      <c r="A19" s="69" t="s">
        <v>37</v>
      </c>
      <c r="B19" s="63"/>
    </row>
    <row r="20" spans="1:7">
      <c r="A20" s="42" t="s">
        <v>39</v>
      </c>
      <c r="B20" s="73">
        <f>B11+E10</f>
        <v>0</v>
      </c>
      <c r="D20" s="69" t="s">
        <v>38</v>
      </c>
      <c r="E20" s="39"/>
    </row>
    <row r="21" spans="1:7">
      <c r="A21" s="42" t="s">
        <v>41</v>
      </c>
      <c r="B21" s="72">
        <f>B14+E16</f>
        <v>0</v>
      </c>
      <c r="D21" s="42" t="s">
        <v>40</v>
      </c>
      <c r="E21" s="112">
        <v>1000</v>
      </c>
    </row>
    <row r="22" spans="1:7">
      <c r="A22" s="42" t="s">
        <v>43</v>
      </c>
      <c r="B22" s="1">
        <v>360</v>
      </c>
      <c r="D22" s="40" t="s">
        <v>42</v>
      </c>
      <c r="E22" s="135">
        <v>150</v>
      </c>
    </row>
    <row r="23" spans="1:7">
      <c r="A23" s="42" t="s">
        <v>44</v>
      </c>
      <c r="B23" s="1">
        <v>40</v>
      </c>
    </row>
    <row r="24" spans="1:7">
      <c r="A24" s="42" t="s">
        <v>325</v>
      </c>
      <c r="B24" s="1">
        <v>50</v>
      </c>
      <c r="D24" s="69" t="s">
        <v>45</v>
      </c>
      <c r="E24" s="39"/>
    </row>
    <row r="25" spans="1:7" ht="16">
      <c r="A25" s="64" t="s">
        <v>49</v>
      </c>
      <c r="B25" s="1">
        <v>0</v>
      </c>
      <c r="D25" s="42" t="s">
        <v>47</v>
      </c>
      <c r="E25" s="52" t="s">
        <v>48</v>
      </c>
    </row>
    <row r="26" spans="1:7">
      <c r="D26" s="42" t="s">
        <v>50</v>
      </c>
      <c r="E26" s="55" t="s">
        <v>51</v>
      </c>
    </row>
    <row r="27" spans="1:7">
      <c r="A27" s="69" t="s">
        <v>54</v>
      </c>
      <c r="B27" s="39"/>
      <c r="D27" s="42" t="s">
        <v>52</v>
      </c>
      <c r="E27" s="55" t="s">
        <v>53</v>
      </c>
    </row>
    <row r="28" spans="1:7">
      <c r="A28" s="42" t="s">
        <v>57</v>
      </c>
      <c r="B28" s="55">
        <v>0.2</v>
      </c>
      <c r="D28" s="42" t="s">
        <v>55</v>
      </c>
      <c r="E28" s="52" t="s">
        <v>56</v>
      </c>
    </row>
    <row r="29" spans="1:7">
      <c r="A29" s="42" t="s">
        <v>59</v>
      </c>
      <c r="B29" s="92">
        <f>B14*B28</f>
        <v>0</v>
      </c>
      <c r="D29" s="40" t="s">
        <v>58</v>
      </c>
      <c r="E29" s="65">
        <v>8</v>
      </c>
      <c r="G29" s="224"/>
    </row>
    <row r="30" spans="1:7">
      <c r="A30" s="87" t="s">
        <v>60</v>
      </c>
      <c r="B30" s="6">
        <v>0</v>
      </c>
    </row>
    <row r="32" spans="1:7">
      <c r="A32" s="69" t="s">
        <v>62</v>
      </c>
      <c r="B32" s="39"/>
      <c r="D32" s="111" t="s">
        <v>61</v>
      </c>
      <c r="E32" s="113">
        <f>SUM(COUNTBLANK(B5),COUNTBLANK(B8:B17),COUNTBLANK(B20:B25),COUNTBLANK(B28:B30),COUNTBLANK(B33:B35),COUNTBLANK(B38:B41),COUNTBLANK(E8:E11),COUNTBLANK(E16),COUNTBLANK(E21:E22),COUNTBLANK(B44:B44))</f>
        <v>3</v>
      </c>
    </row>
    <row r="33" spans="1:3">
      <c r="A33" s="42" t="s">
        <v>63</v>
      </c>
      <c r="B33" s="1">
        <v>0</v>
      </c>
    </row>
    <row r="34" spans="1:3">
      <c r="A34" s="42" t="s">
        <v>64</v>
      </c>
      <c r="B34" s="60">
        <v>0</v>
      </c>
    </row>
    <row r="35" spans="1:3">
      <c r="A35" s="40" t="s">
        <v>65</v>
      </c>
      <c r="B35" s="62">
        <v>0</v>
      </c>
    </row>
    <row r="37" spans="1:3">
      <c r="A37" s="69" t="s">
        <v>66</v>
      </c>
      <c r="B37" s="39"/>
    </row>
    <row r="38" spans="1:3">
      <c r="A38" s="42" t="s">
        <v>67</v>
      </c>
      <c r="B38" s="52" t="s">
        <v>68</v>
      </c>
    </row>
    <row r="39" spans="1:3">
      <c r="A39" s="42" t="s">
        <v>69</v>
      </c>
      <c r="B39" s="52">
        <v>0</v>
      </c>
    </row>
    <row r="40" spans="1:3">
      <c r="A40" s="42" t="s">
        <v>70</v>
      </c>
      <c r="B40" s="52">
        <v>90</v>
      </c>
    </row>
    <row r="41" spans="1:3">
      <c r="A41" s="40" t="s">
        <v>71</v>
      </c>
      <c r="B41" s="65">
        <v>50</v>
      </c>
    </row>
    <row r="43" spans="1:3">
      <c r="A43" s="69" t="s">
        <v>337</v>
      </c>
      <c r="B43" s="39"/>
      <c r="C43" s="14"/>
    </row>
    <row r="44" spans="1:3">
      <c r="A44" s="40" t="s">
        <v>409</v>
      </c>
      <c r="B44" s="65">
        <v>1</v>
      </c>
      <c r="C44" s="14"/>
    </row>
    <row r="46" spans="1:3">
      <c r="A46" s="69" t="s">
        <v>384</v>
      </c>
      <c r="B46" s="39"/>
    </row>
    <row r="47" spans="1:3">
      <c r="A47" s="40" t="s">
        <v>385</v>
      </c>
      <c r="B47" s="225" t="s">
        <v>382</v>
      </c>
    </row>
  </sheetData>
  <mergeCells count="1">
    <mergeCell ref="A2:E2"/>
  </mergeCells>
  <phoneticPr fontId="22" type="noConversion"/>
  <conditionalFormatting sqref="E32">
    <cfRule type="iconSet" priority="8">
      <iconSet iconSet="3Symbols" showValue="0" reverse="1">
        <cfvo type="percent" val="0"/>
        <cfvo type="num" val="0" gte="0"/>
        <cfvo type="num" val="1" gte="0"/>
      </iconSet>
    </cfRule>
  </conditionalFormatting>
  <conditionalFormatting sqref="B5 B8:B10 B12:B13 B15:B17 B28 B30 B33:B35 B38:B41 E21:E22 B22:B25 E26:E27 E8:E11">
    <cfRule type="containsBlanks" dxfId="11" priority="6">
      <formula>LEN(TRIM(B5))=0</formula>
    </cfRule>
  </conditionalFormatting>
  <conditionalFormatting sqref="E12:E13">
    <cfRule type="containsBlanks" dxfId="10" priority="5">
      <formula>LEN(TRIM(E12))=0</formula>
    </cfRule>
  </conditionalFormatting>
  <conditionalFormatting sqref="E14">
    <cfRule type="containsBlanks" dxfId="9" priority="4">
      <formula>LEN(TRIM(E14))=0</formula>
    </cfRule>
  </conditionalFormatting>
  <conditionalFormatting sqref="F14">
    <cfRule type="iconSet" priority="3">
      <iconSet iconSet="3Symbols" showValue="0" reverse="1">
        <cfvo type="percent" val="0"/>
        <cfvo type="num" val="0" gte="0"/>
        <cfvo type="num" val="1" gte="0"/>
      </iconSet>
    </cfRule>
  </conditionalFormatting>
  <conditionalFormatting sqref="B44">
    <cfRule type="containsBlanks" dxfId="8" priority="1">
      <formula>LEN(TRIM(B44))=0</formula>
    </cfRule>
  </conditionalFormatting>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'Screen recording storage'!$A$3:$A$8</xm:f>
          </x14:formula1>
          <xm:sqref>B38</xm:sqref>
        </x14:dataValidation>
        <x14:dataValidation type="list" allowBlank="1" showInputMessage="1" showErrorMessage="1" xr:uid="{00000000-0002-0000-0200-000001000000}">
          <x14:formula1>
            <xm:f>MCP!$A$4:$A$5</xm:f>
          </x14:formula1>
          <xm:sqref>E28</xm:sqref>
        </x14:dataValidation>
        <x14:dataValidation type="list" allowBlank="1" showInputMessage="1" showErrorMessage="1" xr:uid="{00000000-0002-0000-0200-000002000000}">
          <x14:formula1>
            <xm:f>MCP!$B$4:$B$5</xm:f>
          </x14:formula1>
          <xm:sqref>E26</xm:sqref>
        </x14:dataValidation>
        <x14:dataValidation type="list" allowBlank="1" showInputMessage="1" showErrorMessage="1" xr:uid="{00000000-0002-0000-0200-000003000000}">
          <x14:formula1>
            <xm:f>MCP!$C$4:$C$5</xm:f>
          </x14:formula1>
          <xm:sqref>E27</xm:sqref>
        </x14:dataValidation>
        <x14:dataValidation type="list" allowBlank="1" showInputMessage="1" showErrorMessage="1" xr:uid="{00000000-0002-0000-0200-000004000000}">
          <x14:formula1>
            <xm:f>MCP!$D$4:$D$5</xm:f>
          </x14:formula1>
          <xm:sqref>E25</xm:sqref>
        </x14:dataValidation>
        <x14:dataValidation type="list" allowBlank="1" showInputMessage="1" showErrorMessage="1" xr:uid="{9921461C-93F5-4C10-BCA0-C12BAA898111}">
          <x14:formula1>
            <xm:f>'Voice Processor'!$A$2:$B$2</xm:f>
          </x14:formula1>
          <xm:sqref>B47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topLeftCell="A2" workbookViewId="0">
      <selection activeCell="I30" sqref="I30"/>
    </sheetView>
  </sheetViews>
  <sheetFormatPr baseColWidth="10" defaultColWidth="8.83203125" defaultRowHeight="15"/>
  <cols>
    <col min="1" max="1" width="48" customWidth="1"/>
    <col min="2" max="2" width="21.5" customWidth="1"/>
    <col min="3" max="3" width="13.5" bestFit="1" customWidth="1"/>
    <col min="4" max="4" width="17.83203125" customWidth="1"/>
    <col min="5" max="5" width="17.1640625" customWidth="1"/>
    <col min="6" max="6" width="25.83203125" customWidth="1"/>
    <col min="7" max="7" width="21.5" customWidth="1"/>
    <col min="8" max="8" width="15.5" customWidth="1"/>
    <col min="9" max="9" width="15.1640625" customWidth="1"/>
  </cols>
  <sheetData>
    <row r="1" spans="1:9">
      <c r="A1" s="114" t="s">
        <v>61</v>
      </c>
      <c r="B1" s="115">
        <f>'Deployment input'!E32</f>
        <v>3</v>
      </c>
    </row>
    <row r="2" spans="1:9" s="224" customFormat="1">
      <c r="A2" s="114" t="s">
        <v>362</v>
      </c>
      <c r="B2" s="115">
        <f>'Deployment input'!B12*'Deployment input'!B22*('Deployment input'!B23+1)</f>
        <v>0</v>
      </c>
    </row>
    <row r="3" spans="1:9" s="224" customFormat="1">
      <c r="A3" s="114" t="s">
        <v>361</v>
      </c>
      <c r="B3" s="115">
        <f>IF(B2&lt;24000000000,1,0)</f>
        <v>1</v>
      </c>
      <c r="C3" s="224" t="s">
        <v>400</v>
      </c>
    </row>
    <row r="4" spans="1:9" ht="16" thickBot="1"/>
    <row r="5" spans="1:9">
      <c r="A5" s="51" t="s">
        <v>72</v>
      </c>
      <c r="B5" s="49"/>
      <c r="C5" s="46"/>
    </row>
    <row r="6" spans="1:9">
      <c r="A6" s="47" t="s">
        <v>73</v>
      </c>
      <c r="B6" s="80">
        <f>'Voice recording storage'!B20</f>
        <v>0</v>
      </c>
      <c r="C6" s="97"/>
    </row>
    <row r="7" spans="1:9" ht="16" thickBot="1">
      <c r="A7" s="48" t="s">
        <v>74</v>
      </c>
      <c r="B7" s="98">
        <f>'Voice recording storage'!B21</f>
        <v>0</v>
      </c>
      <c r="C7" s="99" t="str">
        <f>CONCATENATE(CEILING(B7/1024, 1), " TB")</f>
        <v>0 TB</v>
      </c>
    </row>
    <row r="8" spans="1:9" ht="16" thickBot="1">
      <c r="A8" s="44"/>
      <c r="B8" s="50"/>
      <c r="C8" s="86"/>
    </row>
    <row r="9" spans="1:9">
      <c r="A9" s="51" t="s">
        <v>75</v>
      </c>
      <c r="B9" s="49"/>
      <c r="C9" s="46"/>
    </row>
    <row r="10" spans="1:9">
      <c r="A10" s="47" t="s">
        <v>76</v>
      </c>
      <c r="B10" s="80">
        <f>'Screen recording storage'!B38</f>
        <v>0</v>
      </c>
      <c r="C10" s="97"/>
    </row>
    <row r="11" spans="1:9" ht="16" thickBot="1">
      <c r="A11" s="48" t="s">
        <v>77</v>
      </c>
      <c r="B11" s="98">
        <f>'Screen recording storage'!B39</f>
        <v>0</v>
      </c>
      <c r="C11" s="99" t="str">
        <f>CONCATENATE(CEILING(B11/1024, 1), " TB")</f>
        <v>0 TB</v>
      </c>
    </row>
    <row r="12" spans="1:9" ht="16" thickBot="1">
      <c r="A12" s="47"/>
    </row>
    <row r="13" spans="1:9" ht="16" thickBot="1">
      <c r="A13" s="195" t="s">
        <v>78</v>
      </c>
      <c r="B13" s="196">
        <f>'Screen recording storage'!B46</f>
        <v>0</v>
      </c>
    </row>
    <row r="14" spans="1:9">
      <c r="A14" s="68"/>
      <c r="B14" s="116"/>
    </row>
    <row r="15" spans="1:9" ht="16" thickBot="1">
      <c r="A15" s="68"/>
    </row>
    <row r="16" spans="1:9">
      <c r="A16" s="199" t="s">
        <v>294</v>
      </c>
      <c r="B16" s="200" t="s">
        <v>79</v>
      </c>
      <c r="C16" s="200" t="s">
        <v>80</v>
      </c>
      <c r="D16" s="200" t="s">
        <v>81</v>
      </c>
      <c r="E16" s="200" t="s">
        <v>82</v>
      </c>
      <c r="F16" s="200" t="s">
        <v>83</v>
      </c>
      <c r="G16" s="201" t="s">
        <v>84</v>
      </c>
      <c r="H16" s="201" t="s">
        <v>85</v>
      </c>
      <c r="I16" s="202" t="s">
        <v>86</v>
      </c>
    </row>
    <row r="17" spans="1:9">
      <c r="A17" s="203" t="s">
        <v>389</v>
      </c>
      <c r="B17" s="198">
        <f>RP!B19</f>
        <v>0.24</v>
      </c>
      <c r="C17" s="197">
        <f>RP!C19</f>
        <v>50.19</v>
      </c>
      <c r="D17" s="197">
        <f>RP!B6</f>
        <v>60</v>
      </c>
      <c r="E17" s="131"/>
      <c r="F17" s="131"/>
      <c r="G17" s="131">
        <f>RP!E19</f>
        <v>0</v>
      </c>
      <c r="H17" s="131"/>
      <c r="I17" s="204"/>
    </row>
    <row r="18" spans="1:9" s="224" customFormat="1">
      <c r="A18" s="203" t="s">
        <v>390</v>
      </c>
      <c r="B18" s="231">
        <f>'Voice Processor'!B15</f>
        <v>0</v>
      </c>
      <c r="C18" s="230">
        <f>'Voice Processor'!C15</f>
        <v>0</v>
      </c>
      <c r="D18" s="230" t="s">
        <v>386</v>
      </c>
      <c r="E18" s="229" t="s">
        <v>386</v>
      </c>
      <c r="F18" s="229" t="s">
        <v>387</v>
      </c>
      <c r="G18" s="229">
        <f>'Voice Processor'!D15</f>
        <v>0</v>
      </c>
      <c r="H18" s="229">
        <f>'Voice Processor'!D15</f>
        <v>0</v>
      </c>
      <c r="I18" s="232">
        <f>CEILING(RP!B19,1)</f>
        <v>1</v>
      </c>
    </row>
    <row r="19" spans="1:9">
      <c r="A19" s="203" t="s">
        <v>87</v>
      </c>
      <c r="B19" s="198">
        <f>Muxer!B11</f>
        <v>1.5</v>
      </c>
      <c r="C19" s="197">
        <f>Muxer!C11</f>
        <v>2048</v>
      </c>
      <c r="D19" s="197">
        <f>Muxer!D11</f>
        <v>200</v>
      </c>
      <c r="E19" s="131">
        <f>Muxer!E11</f>
        <v>120</v>
      </c>
      <c r="F19" s="131">
        <f>Muxer!F11</f>
        <v>0</v>
      </c>
      <c r="G19" s="131">
        <f>Muxer!G11</f>
        <v>0</v>
      </c>
      <c r="H19" s="131"/>
      <c r="I19" s="204">
        <v>2</v>
      </c>
    </row>
    <row r="20" spans="1:9">
      <c r="A20" s="203" t="s">
        <v>88</v>
      </c>
      <c r="B20" s="198">
        <f>RCS!B21</f>
        <v>5.9989699999999993E-2</v>
      </c>
      <c r="C20" s="197">
        <f>RCS!C21</f>
        <v>600</v>
      </c>
      <c r="D20" s="197"/>
      <c r="E20" s="131">
        <v>120</v>
      </c>
      <c r="F20" s="131">
        <f>RCS!D21</f>
        <v>7.32421875</v>
      </c>
      <c r="G20" s="131"/>
      <c r="H20" s="131"/>
      <c r="I20" s="204"/>
    </row>
    <row r="21" spans="1:9">
      <c r="A21" s="203" t="s">
        <v>326</v>
      </c>
      <c r="B21" s="198">
        <f>RWS!D57</f>
        <v>2.4020833333333335E-2</v>
      </c>
      <c r="C21" s="197">
        <f>RWS!B6*1024</f>
        <v>8192</v>
      </c>
      <c r="D21" s="230"/>
      <c r="E21" s="229">
        <v>120</v>
      </c>
      <c r="F21" s="197">
        <f>'Screen recording storage'!B46*2/3</f>
        <v>0</v>
      </c>
      <c r="G21" s="131">
        <v>3</v>
      </c>
      <c r="H21" s="131"/>
      <c r="I21" s="204">
        <f>RWS!B5</f>
        <v>4</v>
      </c>
    </row>
    <row r="22" spans="1:9" s="224" customFormat="1">
      <c r="A22" s="203" t="s">
        <v>404</v>
      </c>
      <c r="B22" s="230"/>
      <c r="C22" s="230">
        <f>Elasticsearch!B6*1024</f>
        <v>16384</v>
      </c>
      <c r="D22" s="230"/>
      <c r="E22" s="230">
        <f>Elasticsearch!B27</f>
        <v>0</v>
      </c>
      <c r="F22" s="230"/>
      <c r="G22" s="229">
        <v>3</v>
      </c>
      <c r="H22" s="229"/>
      <c r="I22" s="232">
        <f>Elasticsearch!B5</f>
        <v>4</v>
      </c>
    </row>
    <row r="23" spans="1:9">
      <c r="A23" s="203" t="s">
        <v>89</v>
      </c>
      <c r="B23" s="198">
        <f>Cassandra!B29</f>
        <v>0</v>
      </c>
      <c r="C23" s="197">
        <f>Cassandra!C29</f>
        <v>2076</v>
      </c>
      <c r="D23" s="197">
        <f>Cassandra!D29</f>
        <v>8</v>
      </c>
      <c r="E23" s="197">
        <f>Cassandra!E29</f>
        <v>0</v>
      </c>
      <c r="F23" s="131"/>
      <c r="G23" s="131">
        <v>3</v>
      </c>
      <c r="H23" s="131"/>
      <c r="I23" s="204"/>
    </row>
    <row r="24" spans="1:9">
      <c r="A24" s="203" t="s">
        <v>311</v>
      </c>
      <c r="B24" s="198"/>
      <c r="C24" s="197"/>
      <c r="D24" s="197">
        <f>MCP!B28</f>
        <v>59.190000000000005</v>
      </c>
      <c r="E24" s="131"/>
      <c r="F24" s="197">
        <f>MCP!B29+'Voice recording storage'!B27</f>
        <v>76.75</v>
      </c>
      <c r="G24" s="131"/>
      <c r="H24" s="131">
        <f>MCP!B27</f>
        <v>0</v>
      </c>
      <c r="I24" s="204">
        <f>'Deployment input'!E29</f>
        <v>8</v>
      </c>
    </row>
    <row r="25" spans="1:9" s="224" customFormat="1" ht="48">
      <c r="A25" s="239" t="s">
        <v>315</v>
      </c>
      <c r="B25" s="231"/>
      <c r="C25" s="230"/>
      <c r="D25" s="230">
        <f>MCP!B38</f>
        <v>268.8</v>
      </c>
      <c r="E25" s="229"/>
      <c r="F25" s="230">
        <f>MCP!B39+'Voice recording storage'!B27</f>
        <v>385</v>
      </c>
      <c r="G25" s="229"/>
      <c r="H25" s="229">
        <f>MCP!B36</f>
        <v>0</v>
      </c>
      <c r="I25" s="232">
        <f>'Deployment input'!E29</f>
        <v>8</v>
      </c>
    </row>
    <row r="26" spans="1:9" ht="33.75" customHeight="1" thickBot="1">
      <c r="A26" s="205" t="s">
        <v>364</v>
      </c>
      <c r="B26" s="206">
        <f>WebDAV!B16</f>
        <v>0</v>
      </c>
      <c r="C26" s="207"/>
      <c r="D26" s="207">
        <f>WebDAV!C16</f>
        <v>0</v>
      </c>
      <c r="E26" s="208" t="s">
        <v>90</v>
      </c>
      <c r="F26" s="207">
        <f>'Screen recording storage'!B47+'Voice recording storage'!B27</f>
        <v>0</v>
      </c>
      <c r="G26" s="209"/>
      <c r="H26" s="209"/>
      <c r="I26" s="210"/>
    </row>
    <row r="28" spans="1:9" ht="16" thickBot="1"/>
    <row r="29" spans="1:9" ht="16" thickBot="1">
      <c r="A29" s="245" t="s">
        <v>91</v>
      </c>
      <c r="B29" s="246" t="s">
        <v>79</v>
      </c>
      <c r="C29" s="246" t="s">
        <v>92</v>
      </c>
      <c r="D29" s="252" t="s">
        <v>82</v>
      </c>
      <c r="E29" s="253" t="s">
        <v>85</v>
      </c>
    </row>
    <row r="30" spans="1:9" ht="16">
      <c r="A30" s="143" t="s">
        <v>359</v>
      </c>
      <c r="B30" s="44" t="str">
        <f>SpeechMiner!B20</f>
        <v>Dual 8-Core Xeon Silver 4110 2.1GHz</v>
      </c>
      <c r="C30" s="44" t="str">
        <f>SpeechMiner!C20</f>
        <v>16GB</v>
      </c>
      <c r="D30" s="254">
        <v>160</v>
      </c>
      <c r="E30" s="255">
        <v>2</v>
      </c>
      <c r="F30" s="14"/>
    </row>
    <row r="31" spans="1:9">
      <c r="A31" s="47" t="s">
        <v>93</v>
      </c>
      <c r="B31" s="44" t="str">
        <f>SpeechMiner!B21</f>
        <v>Dual 8-Core Xeon Silver 4110 2.1GHz</v>
      </c>
      <c r="C31" s="44" t="str">
        <f>SpeechMiner!C21</f>
        <v>16GB</v>
      </c>
      <c r="D31" s="254">
        <v>160</v>
      </c>
      <c r="E31" s="255">
        <f>SpeechMiner!B44</f>
        <v>0</v>
      </c>
    </row>
    <row r="32" spans="1:9" s="224" customFormat="1">
      <c r="A32" s="144" t="s">
        <v>94</v>
      </c>
      <c r="B32" s="44" t="str">
        <f>SpeechMiner!B21</f>
        <v>Dual 8-Core Xeon Silver 4110 2.1GHz</v>
      </c>
      <c r="C32" s="44" t="str">
        <f>SpeechMiner!C21</f>
        <v>16GB</v>
      </c>
      <c r="D32" s="254">
        <v>160</v>
      </c>
      <c r="E32" s="255">
        <f>SpeechMiner!B43</f>
        <v>1</v>
      </c>
    </row>
    <row r="33" spans="1:14">
      <c r="A33" s="144" t="s">
        <v>356</v>
      </c>
      <c r="B33" s="44" t="str">
        <f>SpeechMiner!B41</f>
        <v>Dual 8-Core Xeon Silver 4110 2.1GHz</v>
      </c>
      <c r="C33" s="44" t="str">
        <f>SpeechMiner!C41</f>
        <v>16GB</v>
      </c>
      <c r="D33" s="68">
        <f>160+SpeechMiner!B17+SpeechMiner!C17+SpeechMiner!D17</f>
        <v>177.5</v>
      </c>
      <c r="E33" s="255">
        <v>1</v>
      </c>
    </row>
    <row r="34" spans="1:14" s="224" customFormat="1" ht="15" customHeight="1">
      <c r="A34" s="144" t="s">
        <v>335</v>
      </c>
      <c r="B34" s="44" t="str">
        <f>SpeechMiner!B28</f>
        <v xml:space="preserve">4-Core Xeon Silver 4112  2.6 GHz </v>
      </c>
      <c r="C34" s="44" t="str">
        <f>SpeechMiner!C28</f>
        <v>8GB</v>
      </c>
      <c r="D34" s="68">
        <v>160</v>
      </c>
      <c r="E34" s="255">
        <f>SpeechMiner!B45</f>
        <v>3</v>
      </c>
      <c r="F34" s="303" t="s">
        <v>426</v>
      </c>
      <c r="G34" s="304"/>
      <c r="H34" s="304"/>
      <c r="I34" s="304"/>
      <c r="J34" s="304"/>
      <c r="K34" s="304"/>
      <c r="L34" s="304"/>
      <c r="M34" s="304"/>
      <c r="N34" s="14"/>
    </row>
    <row r="35" spans="1:14" s="224" customFormat="1">
      <c r="A35" s="144" t="s">
        <v>336</v>
      </c>
      <c r="B35" s="44" t="str">
        <f>SpeechMiner!B29</f>
        <v xml:space="preserve">Dual 8-Core Xeon Silver 4110  2.1 GHz </v>
      </c>
      <c r="C35" s="44" t="str">
        <f>SpeechMiner!C29</f>
        <v>64GB</v>
      </c>
      <c r="D35" s="68">
        <f>160+SpeechMiner!B48</f>
        <v>160</v>
      </c>
      <c r="E35" s="255">
        <f>SpeechMiner!B46</f>
        <v>2</v>
      </c>
      <c r="F35" s="303"/>
      <c r="G35" s="304"/>
      <c r="H35" s="304"/>
      <c r="I35" s="304"/>
      <c r="J35" s="304"/>
      <c r="K35" s="304"/>
      <c r="L35" s="304"/>
      <c r="M35" s="304"/>
      <c r="N35" s="14"/>
    </row>
    <row r="36" spans="1:14" ht="16" thickBot="1">
      <c r="A36" s="145" t="s">
        <v>347</v>
      </c>
      <c r="B36" s="117" t="str">
        <f>SpeechMiner!B27</f>
        <v>4-Core Xeon Silver 4112  2.6 GHz</v>
      </c>
      <c r="C36" s="117" t="str">
        <f>SpeechMiner!C27</f>
        <v>8GB</v>
      </c>
      <c r="D36" s="256">
        <v>160</v>
      </c>
      <c r="E36" s="257">
        <v>2</v>
      </c>
      <c r="N36" s="14"/>
    </row>
  </sheetData>
  <mergeCells count="1">
    <mergeCell ref="F34:M35"/>
  </mergeCells>
  <conditionalFormatting sqref="B23:E23 B20:C21 E22">
    <cfRule type="cellIs" dxfId="7" priority="20" operator="equal">
      <formula>0</formula>
    </cfRule>
  </conditionalFormatting>
  <conditionalFormatting sqref="B1">
    <cfRule type="iconSet" priority="13">
      <iconSet iconSet="3Symbols" showValue="0" reverse="1">
        <cfvo type="percent" val="0"/>
        <cfvo type="num" val="0" gte="0"/>
        <cfvo type="num" val="1" gte="0"/>
      </iconSet>
    </cfRule>
  </conditionalFormatting>
  <conditionalFormatting sqref="B3">
    <cfRule type="iconSet" priority="5">
      <iconSet iconSet="3Symbols">
        <cfvo type="percent" val="0"/>
        <cfvo type="percent" val="33"/>
        <cfvo type="percent" val="67"/>
      </iconSet>
    </cfRule>
  </conditionalFormatting>
  <conditionalFormatting sqref="C22">
    <cfRule type="cellIs" dxfId="6" priority="1" operator="equal">
      <formula>0</formula>
    </cfRule>
  </conditionalFormatting>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cellIs" priority="9" operator="greaterThan" id="{061A2A43-C06D-EE47-BE59-54CC462D8B9F}">
            <xm:f>'Deployment input'!$E$22</xm:f>
            <x14:dxf>
              <font>
                <condense val="0"/>
                <extend val="0"/>
                <color rgb="FF9C0006"/>
              </font>
              <fill>
                <patternFill>
                  <bgColor rgb="FFFFC7CE"/>
                </patternFill>
              </fill>
            </x14:dxf>
          </x14:cfRule>
          <xm:sqref>D17:D19 D26 D23:D24</xm:sqref>
        </x14:conditionalFormatting>
        <x14:conditionalFormatting xmlns:xm="http://schemas.microsoft.com/office/excel/2006/main">
          <x14:cfRule type="cellIs" priority="21" operator="greaterThan" id="{897E1226-A4B0-FC4C-A364-0614B4316E02}">
            <xm:f>'Deployment input'!$E$21</xm:f>
            <x14:dxf>
              <font>
                <condense val="0"/>
                <extend val="0"/>
                <color rgb="FF9C0006"/>
              </font>
              <fill>
                <patternFill>
                  <bgColor rgb="FFFFC7CE"/>
                </patternFill>
              </fill>
            </x14:dxf>
          </x14:cfRule>
          <xm:sqref>F21:F22 F24 F26</xm:sqref>
        </x14:conditionalFormatting>
        <x14:conditionalFormatting xmlns:xm="http://schemas.microsoft.com/office/excel/2006/main">
          <x14:cfRule type="cellIs" priority="7" operator="greaterThan" id="{E3B41007-FB17-4198-8005-5D78C3105742}">
            <xm:f>'Deployment input'!$E$22</xm:f>
            <x14:dxf>
              <font>
                <condense val="0"/>
                <extend val="0"/>
                <color rgb="FF9C0006"/>
              </font>
              <fill>
                <patternFill>
                  <bgColor rgb="FFFFC7CE"/>
                </patternFill>
              </fill>
            </x14:dxf>
          </x14:cfRule>
          <xm:sqref>D25</xm:sqref>
        </x14:conditionalFormatting>
        <x14:conditionalFormatting xmlns:xm="http://schemas.microsoft.com/office/excel/2006/main">
          <x14:cfRule type="cellIs" priority="8" operator="greaterThan" id="{41EA604A-5974-47CA-B892-F28E308D9B72}">
            <xm:f>'Deployment input'!$E$21</xm:f>
            <x14:dxf>
              <font>
                <condense val="0"/>
                <extend val="0"/>
                <color rgb="FF9C0006"/>
              </font>
              <fill>
                <patternFill>
                  <bgColor rgb="FFFFC7CE"/>
                </patternFill>
              </fill>
            </x14:dxf>
          </x14:cfRule>
          <xm:sqref>F25</xm:sqref>
        </x14:conditionalFormatting>
        <x14:conditionalFormatting xmlns:xm="http://schemas.microsoft.com/office/excel/2006/main">
          <x14:cfRule type="iconSet" priority="4" id="{23066A22-1AF2-4F2A-87C5-CAF365A2BCEE}">
            <x14:iconSet iconSet="3Symbols" showValue="0" custom="1">
              <x14:cfvo type="percent">
                <xm:f>0</xm:f>
              </x14:cfvo>
              <x14:cfvo type="num">
                <xm:f>0</xm:f>
              </x14:cfvo>
              <x14:cfvo type="num">
                <xm:f>1</xm:f>
              </x14:cfvo>
              <x14:cfIcon iconSet="3Symbols" iconId="0"/>
              <x14:cfIcon iconSet="3Symbols" iconId="0"/>
              <x14:cfIcon iconSet="3Symbols" iconId="2"/>
            </x14:iconSet>
          </x14:cfRule>
          <xm:sqref>B3</xm:sqref>
        </x14:conditionalFormatting>
        <x14:conditionalFormatting xmlns:xm="http://schemas.microsoft.com/office/excel/2006/main">
          <x14:cfRule type="expression" priority="3" stopIfTrue="1" id="{B62C7217-DCC5-4A14-99DD-F5021EE87323}">
            <xm:f>'Voice Processor'!$B$10=0</xm:f>
            <x14:dxf>
              <font>
                <strike/>
              </font>
              <fill>
                <patternFill>
                  <bgColor theme="1"/>
                </patternFill>
              </fill>
            </x14:dxf>
          </x14:cfRule>
          <xm:sqref>A18:I18</xm:sqref>
        </x14:conditionalFormatting>
        <x14:conditionalFormatting xmlns:xm="http://schemas.microsoft.com/office/excel/2006/main">
          <x14:cfRule type="expression" priority="2" stopIfTrue="1" id="{B1744E45-1A2B-44ED-A018-F77D42D32392}">
            <xm:f>'Voice Processor'!$B$10&lt;&gt;0</xm:f>
            <x14:dxf>
              <fill>
                <patternFill>
                  <bgColor theme="1"/>
                </patternFill>
              </fill>
            </x14:dxf>
          </x14:cfRule>
          <xm:sqref>A17:I17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
  <sheetViews>
    <sheetView workbookViewId="0">
      <selection activeCell="B10" sqref="B10"/>
    </sheetView>
  </sheetViews>
  <sheetFormatPr baseColWidth="10" defaultColWidth="8.83203125" defaultRowHeight="15"/>
  <cols>
    <col min="1" max="1" width="37.1640625" customWidth="1"/>
    <col min="2" max="2" width="13.5" customWidth="1"/>
  </cols>
  <sheetData>
    <row r="1" spans="1:3">
      <c r="A1" s="69" t="s">
        <v>95</v>
      </c>
      <c r="B1" s="39"/>
    </row>
    <row r="2" spans="1:3">
      <c r="A2" s="137" t="s">
        <v>48</v>
      </c>
      <c r="B2" s="53">
        <v>16</v>
      </c>
    </row>
    <row r="3" spans="1:3">
      <c r="A3" s="137" t="s">
        <v>96</v>
      </c>
      <c r="B3" s="53">
        <v>8</v>
      </c>
    </row>
    <row r="4" spans="1:3">
      <c r="A4" s="136"/>
      <c r="B4" s="53"/>
    </row>
    <row r="5" spans="1:3">
      <c r="A5" s="40" t="s">
        <v>97</v>
      </c>
      <c r="B5" s="85">
        <f>IF('Deployment input'!E25='Voice recording storage'!A2,'Voice recording storage'!B2,'Voice recording storage'!B3)</f>
        <v>16</v>
      </c>
    </row>
    <row r="7" spans="1:3">
      <c r="A7" s="69" t="s">
        <v>23</v>
      </c>
      <c r="B7" s="38"/>
      <c r="C7" s="39"/>
    </row>
    <row r="8" spans="1:3">
      <c r="A8" s="42" t="s">
        <v>98</v>
      </c>
      <c r="B8" s="75">
        <f>'Deployment input'!B12</f>
        <v>0</v>
      </c>
      <c r="C8" s="53"/>
    </row>
    <row r="9" spans="1:3">
      <c r="A9" s="42" t="s">
        <v>99</v>
      </c>
      <c r="B9" s="75">
        <f>'Deployment input'!B15</f>
        <v>240</v>
      </c>
      <c r="C9" s="53"/>
    </row>
    <row r="10" spans="1:3">
      <c r="A10" s="42" t="s">
        <v>100</v>
      </c>
      <c r="B10" s="181">
        <f>B9*B5/8</f>
        <v>480</v>
      </c>
      <c r="C10" s="53"/>
    </row>
    <row r="11" spans="1:3">
      <c r="A11" s="40" t="s">
        <v>101</v>
      </c>
      <c r="B11" s="76">
        <f>$B$8*$B$9*$B$5/8/1024</f>
        <v>0</v>
      </c>
      <c r="C11" s="77" t="str">
        <f>CONCATENATE(CEILING(B11/1024, 1), " GB")</f>
        <v>0 GB</v>
      </c>
    </row>
    <row r="12" spans="1:3">
      <c r="C12" s="7"/>
    </row>
    <row r="13" spans="1:3">
      <c r="A13" s="69" t="s">
        <v>24</v>
      </c>
      <c r="B13" s="38"/>
      <c r="C13" s="83"/>
    </row>
    <row r="14" spans="1:3">
      <c r="A14" s="42" t="s">
        <v>98</v>
      </c>
      <c r="B14" s="75">
        <f>'Deployment input'!E11</f>
        <v>0</v>
      </c>
      <c r="C14" s="84"/>
    </row>
    <row r="15" spans="1:3">
      <c r="A15" s="42" t="s">
        <v>102</v>
      </c>
      <c r="B15" s="75">
        <f>'Deployment input'!E9</f>
        <v>0</v>
      </c>
      <c r="C15" s="84"/>
    </row>
    <row r="16" spans="1:3">
      <c r="A16" s="40" t="s">
        <v>101</v>
      </c>
      <c r="B16" s="76">
        <f>B14*B15*B5/8/1024</f>
        <v>0</v>
      </c>
      <c r="C16" s="77" t="str">
        <f>CONCATENATE(CEILING(B16/1024, 1), " GB")</f>
        <v>0 GB</v>
      </c>
    </row>
    <row r="18" spans="1:3">
      <c r="A18" s="69" t="s">
        <v>103</v>
      </c>
      <c r="B18" s="38"/>
      <c r="C18" s="39"/>
    </row>
    <row r="19" spans="1:3">
      <c r="A19" s="42" t="s">
        <v>43</v>
      </c>
      <c r="B19" s="74">
        <f>'Deployment input'!B22</f>
        <v>360</v>
      </c>
      <c r="C19" s="53"/>
    </row>
    <row r="20" spans="1:3">
      <c r="A20" s="42" t="s">
        <v>104</v>
      </c>
      <c r="B20" s="78">
        <f>(B11+B16)/1024</f>
        <v>0</v>
      </c>
      <c r="C20" s="53"/>
    </row>
    <row r="21" spans="1:3">
      <c r="A21" s="40" t="s">
        <v>105</v>
      </c>
      <c r="B21" s="76">
        <f>(B11+B16)/1024*B19</f>
        <v>0</v>
      </c>
      <c r="C21" s="77" t="str">
        <f>CONCATENATE(CEILING(B21/1024, 1), " TB")</f>
        <v>0 TB</v>
      </c>
    </row>
    <row r="23" spans="1:3">
      <c r="A23" s="69" t="s">
        <v>106</v>
      </c>
      <c r="B23" s="39"/>
    </row>
    <row r="24" spans="1:3">
      <c r="A24" s="42" t="s">
        <v>107</v>
      </c>
      <c r="B24" s="108">
        <f>'Deployment input'!B11</f>
        <v>0</v>
      </c>
    </row>
    <row r="25" spans="1:3">
      <c r="A25" s="42" t="s">
        <v>108</v>
      </c>
      <c r="B25" s="108">
        <f>'Deployment input'!E10</f>
        <v>0</v>
      </c>
    </row>
    <row r="26" spans="1:3">
      <c r="A26" s="42" t="s">
        <v>109</v>
      </c>
      <c r="B26" s="108">
        <f>B24*B9*B5/8/1024 + B25*B15*B5/8/1024</f>
        <v>0</v>
      </c>
    </row>
    <row r="27" spans="1:3">
      <c r="A27" s="40" t="s">
        <v>110</v>
      </c>
      <c r="B27" s="107">
        <f>B26/3600*8</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B38" sqref="B38"/>
    </sheetView>
  </sheetViews>
  <sheetFormatPr baseColWidth="10" defaultColWidth="8.83203125" defaultRowHeight="15"/>
  <cols>
    <col min="1" max="1" width="48" customWidth="1"/>
    <col min="2" max="3" width="11.5" customWidth="1"/>
    <col min="4" max="4" width="18.5" customWidth="1"/>
  </cols>
  <sheetData>
    <row r="1" spans="1:4">
      <c r="A1" s="69" t="s">
        <v>111</v>
      </c>
      <c r="B1" s="146" t="s">
        <v>112</v>
      </c>
      <c r="C1" s="147" t="s">
        <v>113</v>
      </c>
      <c r="D1" s="147" t="s">
        <v>114</v>
      </c>
    </row>
    <row r="2" spans="1:4">
      <c r="A2" s="42" t="s">
        <v>115</v>
      </c>
      <c r="B2" s="20">
        <v>0</v>
      </c>
      <c r="C2">
        <v>0</v>
      </c>
      <c r="D2">
        <v>0</v>
      </c>
    </row>
    <row r="3" spans="1:4">
      <c r="A3" s="42" t="s">
        <v>116</v>
      </c>
      <c r="B3" s="20">
        <v>83</v>
      </c>
      <c r="C3">
        <f t="shared" ref="C3:C8" si="0">B3/8*60</f>
        <v>622.5</v>
      </c>
      <c r="D3">
        <f>C3+'Voice recording storage'!$B$5/8*60</f>
        <v>742.5</v>
      </c>
    </row>
    <row r="4" spans="1:4">
      <c r="A4" s="42" t="s">
        <v>117</v>
      </c>
      <c r="B4" s="20">
        <v>100</v>
      </c>
      <c r="C4">
        <f t="shared" si="0"/>
        <v>750</v>
      </c>
      <c r="D4">
        <f>C4+'Voice recording storage'!$B$5/8*60</f>
        <v>870</v>
      </c>
    </row>
    <row r="5" spans="1:4">
      <c r="A5" s="42" t="s">
        <v>118</v>
      </c>
      <c r="B5" s="20">
        <v>121</v>
      </c>
      <c r="C5">
        <f t="shared" si="0"/>
        <v>907.5</v>
      </c>
      <c r="D5">
        <f>C5+'Voice recording storage'!$B$5/8*60</f>
        <v>1027.5</v>
      </c>
    </row>
    <row r="6" spans="1:4">
      <c r="A6" s="42" t="s">
        <v>68</v>
      </c>
      <c r="B6" s="20">
        <v>118</v>
      </c>
      <c r="C6">
        <f t="shared" si="0"/>
        <v>885</v>
      </c>
      <c r="D6">
        <f>C6+'Voice recording storage'!$B$5/8*60</f>
        <v>1005</v>
      </c>
    </row>
    <row r="7" spans="1:4">
      <c r="A7" s="42" t="s">
        <v>119</v>
      </c>
      <c r="B7" s="20">
        <v>144</v>
      </c>
      <c r="C7">
        <f t="shared" si="0"/>
        <v>1080</v>
      </c>
      <c r="D7">
        <f>C7+'Voice recording storage'!$B$5/8*60</f>
        <v>1200</v>
      </c>
    </row>
    <row r="8" spans="1:4">
      <c r="A8" s="40" t="s">
        <v>120</v>
      </c>
      <c r="B8" s="28">
        <v>187</v>
      </c>
      <c r="C8">
        <f t="shared" si="0"/>
        <v>1402.5</v>
      </c>
      <c r="D8">
        <f>C8+'Voice recording storage'!$B$5/8*60</f>
        <v>1522.5</v>
      </c>
    </row>
    <row r="10" spans="1:4">
      <c r="A10" s="69" t="s">
        <v>121</v>
      </c>
      <c r="B10" s="38"/>
      <c r="C10" s="39"/>
    </row>
    <row r="11" spans="1:4">
      <c r="A11" s="42" t="s">
        <v>122</v>
      </c>
      <c r="B11" s="123">
        <f>VLOOKUP('Deployment input'!B38,A2:B8,2,FALSE)</f>
        <v>118</v>
      </c>
      <c r="C11" s="53"/>
    </row>
    <row r="12" spans="1:4">
      <c r="A12" s="42" t="s">
        <v>123</v>
      </c>
      <c r="B12" s="123">
        <f>VLOOKUP('Deployment input'!B38,A2:D8,4,FALSE)</f>
        <v>1005</v>
      </c>
      <c r="C12" s="53"/>
    </row>
    <row r="13" spans="1:4">
      <c r="A13" s="42" t="s">
        <v>124</v>
      </c>
      <c r="B13" s="50">
        <f>'Deployment input'!B11</f>
        <v>0</v>
      </c>
      <c r="C13" s="53"/>
    </row>
    <row r="14" spans="1:4">
      <c r="A14" s="66" t="s">
        <v>125</v>
      </c>
      <c r="B14" s="125">
        <f>'Deployment input'!B8</f>
        <v>0</v>
      </c>
      <c r="C14" s="53"/>
    </row>
    <row r="15" spans="1:4">
      <c r="A15" s="66" t="s">
        <v>126</v>
      </c>
      <c r="B15" s="125">
        <f>'Deployment input'!B12</f>
        <v>0</v>
      </c>
      <c r="C15" s="53"/>
    </row>
    <row r="16" spans="1:4">
      <c r="A16" s="66" t="s">
        <v>57</v>
      </c>
      <c r="B16" s="124">
        <f>'Deployment input'!B28</f>
        <v>0.2</v>
      </c>
      <c r="C16" s="53"/>
    </row>
    <row r="17" spans="1:3">
      <c r="A17" s="66" t="s">
        <v>127</v>
      </c>
      <c r="B17" s="50">
        <f>'Deployment input'!B15</f>
        <v>240</v>
      </c>
      <c r="C17" s="53"/>
    </row>
    <row r="18" spans="1:3">
      <c r="A18" s="66" t="s">
        <v>128</v>
      </c>
      <c r="B18" s="50">
        <f>'Deployment input'!B30</f>
        <v>0</v>
      </c>
      <c r="C18" s="53"/>
    </row>
    <row r="19" spans="1:3">
      <c r="A19" s="66" t="s">
        <v>129</v>
      </c>
      <c r="B19" s="80">
        <f>SUM(B17:B18)</f>
        <v>240</v>
      </c>
      <c r="C19" s="53"/>
    </row>
    <row r="20" spans="1:3" s="224" customFormat="1">
      <c r="A20" s="66" t="s">
        <v>365</v>
      </c>
      <c r="B20" s="80">
        <f>B19*VLOOKUP('Deployment input'!B38,A2:D8,3,FALSE)/60</f>
        <v>3540</v>
      </c>
      <c r="C20" s="53"/>
    </row>
    <row r="21" spans="1:3">
      <c r="A21" s="66" t="s">
        <v>366</v>
      </c>
      <c r="B21" s="80">
        <f>B19*B12/60</f>
        <v>4020</v>
      </c>
      <c r="C21" s="53"/>
    </row>
    <row r="22" spans="1:3">
      <c r="A22" s="42" t="s">
        <v>70</v>
      </c>
      <c r="B22" s="123">
        <f>'Deployment input'!B40</f>
        <v>90</v>
      </c>
      <c r="C22" s="53"/>
    </row>
    <row r="23" spans="1:3">
      <c r="A23" s="42" t="s">
        <v>131</v>
      </c>
      <c r="B23" s="80">
        <f>(B13*B16*B19)</f>
        <v>0</v>
      </c>
      <c r="C23" s="53"/>
    </row>
    <row r="24" spans="1:3">
      <c r="A24" s="42" t="s">
        <v>132</v>
      </c>
      <c r="B24" s="80">
        <f>B15*B19*B11/1024/8*B16</f>
        <v>0</v>
      </c>
      <c r="C24" s="126" t="str">
        <f>CONCATENATE(CEILING(B24/1024, 1), " GB")</f>
        <v>0 GB</v>
      </c>
    </row>
    <row r="25" spans="1:3">
      <c r="A25" s="87" t="s">
        <v>133</v>
      </c>
      <c r="B25" s="81">
        <f>B15*B19/60*B12/1024*B16</f>
        <v>0</v>
      </c>
      <c r="C25" s="77" t="str">
        <f>CONCATENATE(CEILING(B25/1024, 1), " GB")</f>
        <v>0 GB</v>
      </c>
    </row>
    <row r="27" spans="1:3">
      <c r="A27" s="69" t="s">
        <v>134</v>
      </c>
      <c r="B27" s="38"/>
      <c r="C27" s="39"/>
    </row>
    <row r="28" spans="1:3">
      <c r="A28" s="42" t="s">
        <v>123</v>
      </c>
      <c r="B28" s="123">
        <f>VLOOKUP('Deployment input'!B38,A2:D8,3,FALSE)</f>
        <v>885</v>
      </c>
      <c r="C28" s="53"/>
    </row>
    <row r="29" spans="1:3">
      <c r="A29" s="42" t="s">
        <v>125</v>
      </c>
      <c r="B29" s="123">
        <f>'Deployment input'!B33</f>
        <v>0</v>
      </c>
      <c r="C29" s="53"/>
    </row>
    <row r="30" spans="1:3">
      <c r="A30" s="42" t="s">
        <v>135</v>
      </c>
      <c r="B30" s="50">
        <f>'Deployment input'!B34</f>
        <v>0</v>
      </c>
      <c r="C30" s="53"/>
    </row>
    <row r="31" spans="1:3">
      <c r="A31" s="42" t="s">
        <v>136</v>
      </c>
      <c r="B31" s="80">
        <f>B30*60*B28/1024</f>
        <v>0</v>
      </c>
      <c r="C31" s="53"/>
    </row>
    <row r="32" spans="1:3">
      <c r="A32" s="42" t="s">
        <v>131</v>
      </c>
      <c r="B32" s="80">
        <f>B29*3600</f>
        <v>0</v>
      </c>
      <c r="C32" s="53"/>
    </row>
    <row r="33" spans="1:3">
      <c r="A33" s="40" t="s">
        <v>137</v>
      </c>
      <c r="B33" s="81">
        <f>B31*B29</f>
        <v>0</v>
      </c>
      <c r="C33" s="77" t="str">
        <f>CONCATENATE(CEILING(B33/1024, 1), " GB")</f>
        <v>0 GB</v>
      </c>
    </row>
    <row r="35" spans="1:3">
      <c r="A35" s="69" t="s">
        <v>66</v>
      </c>
      <c r="B35" s="38"/>
      <c r="C35" s="39"/>
    </row>
    <row r="36" spans="1:3">
      <c r="A36" s="42" t="s">
        <v>411</v>
      </c>
      <c r="B36" s="123">
        <f>'Deployment input'!B40</f>
        <v>90</v>
      </c>
      <c r="C36" s="53"/>
    </row>
    <row r="37" spans="1:3">
      <c r="A37" s="42" t="s">
        <v>138</v>
      </c>
      <c r="B37" s="80">
        <f>(B24+B33)/1024</f>
        <v>0</v>
      </c>
      <c r="C37" s="53"/>
    </row>
    <row r="38" spans="1:3">
      <c r="A38" s="42" t="s">
        <v>139</v>
      </c>
      <c r="B38" s="80">
        <f>(B25+B33)/1024</f>
        <v>0</v>
      </c>
      <c r="C38" s="53"/>
    </row>
    <row r="39" spans="1:3">
      <c r="A39" s="40" t="s">
        <v>140</v>
      </c>
      <c r="B39" s="81">
        <f>B38*B36</f>
        <v>0</v>
      </c>
      <c r="C39" s="77" t="str">
        <f>CONCATENATE(CEILING(B39/1024, 1), " TB")</f>
        <v>0 TB</v>
      </c>
    </row>
    <row r="42" spans="1:3">
      <c r="A42" s="69" t="s">
        <v>106</v>
      </c>
      <c r="B42" s="39"/>
    </row>
    <row r="43" spans="1:3">
      <c r="A43" s="42" t="s">
        <v>141</v>
      </c>
      <c r="B43" s="105">
        <f>'Deployment input'!B39</f>
        <v>0</v>
      </c>
    </row>
    <row r="44" spans="1:3">
      <c r="A44" s="42" t="s">
        <v>142</v>
      </c>
      <c r="B44" s="56">
        <f>B23+B32</f>
        <v>0</v>
      </c>
    </row>
    <row r="45" spans="1:3">
      <c r="A45" s="42" t="s">
        <v>143</v>
      </c>
      <c r="B45" s="106">
        <f>B44*B11/1024/3600</f>
        <v>0</v>
      </c>
    </row>
    <row r="46" spans="1:3">
      <c r="A46" s="42" t="s">
        <v>327</v>
      </c>
      <c r="B46" s="73">
        <f>IF(B43=0,B45,B37*1024*8/(B43*3600))</f>
        <v>0</v>
      </c>
    </row>
    <row r="47" spans="1:3">
      <c r="A47" s="40" t="s">
        <v>328</v>
      </c>
      <c r="B47" s="107">
        <f>B46</f>
        <v>0</v>
      </c>
    </row>
  </sheetData>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workbookViewId="0">
      <selection activeCell="A2" sqref="A2"/>
    </sheetView>
  </sheetViews>
  <sheetFormatPr baseColWidth="10" defaultColWidth="8.83203125" defaultRowHeight="15"/>
  <cols>
    <col min="1" max="1" width="66.5" customWidth="1"/>
    <col min="2" max="2" width="18.1640625" customWidth="1"/>
    <col min="3" max="3" width="34.5" customWidth="1"/>
    <col min="4" max="4" width="19.5" customWidth="1"/>
    <col min="5" max="5" width="36.83203125" customWidth="1"/>
    <col min="6" max="6" width="31" customWidth="1"/>
    <col min="7" max="7" width="15.83203125" customWidth="1"/>
  </cols>
  <sheetData>
    <row r="1" spans="1:6">
      <c r="A1" s="111" t="s">
        <v>144</v>
      </c>
      <c r="B1" s="138"/>
      <c r="C1" s="138"/>
      <c r="D1" s="138"/>
      <c r="E1" s="138"/>
    </row>
    <row r="2" spans="1:6" s="224" customFormat="1">
      <c r="A2" s="227" t="s">
        <v>414</v>
      </c>
      <c r="B2" s="138"/>
      <c r="C2" s="138"/>
      <c r="D2" s="138"/>
      <c r="E2" s="138"/>
    </row>
    <row r="3" spans="1:6">
      <c r="A3" s="111" t="s">
        <v>55</v>
      </c>
      <c r="B3" s="111" t="s">
        <v>50</v>
      </c>
      <c r="C3" s="111" t="s">
        <v>52</v>
      </c>
      <c r="D3" s="111" t="s">
        <v>145</v>
      </c>
      <c r="E3" s="227"/>
    </row>
    <row r="4" spans="1:6">
      <c r="A4" t="s">
        <v>56</v>
      </c>
      <c r="B4" t="s">
        <v>146</v>
      </c>
      <c r="C4" t="s">
        <v>53</v>
      </c>
      <c r="D4" t="s">
        <v>48</v>
      </c>
      <c r="E4" s="224"/>
    </row>
    <row r="5" spans="1:6">
      <c r="A5" t="s">
        <v>147</v>
      </c>
      <c r="B5" t="s">
        <v>51</v>
      </c>
      <c r="C5" t="s">
        <v>148</v>
      </c>
      <c r="D5" t="s">
        <v>96</v>
      </c>
      <c r="E5" s="224"/>
    </row>
    <row r="7" spans="1:6">
      <c r="A7" s="111" t="s">
        <v>149</v>
      </c>
      <c r="B7" t="s">
        <v>150</v>
      </c>
      <c r="C7" s="224" t="s">
        <v>305</v>
      </c>
      <c r="D7" t="s">
        <v>151</v>
      </c>
      <c r="E7" t="s">
        <v>152</v>
      </c>
      <c r="F7" t="s">
        <v>153</v>
      </c>
    </row>
    <row r="8" spans="1:6">
      <c r="A8" t="s">
        <v>56</v>
      </c>
      <c r="B8">
        <v>43.75</v>
      </c>
      <c r="C8" s="224">
        <v>220</v>
      </c>
      <c r="D8" s="128">
        <v>0.875</v>
      </c>
      <c r="E8" s="3">
        <v>0.6</v>
      </c>
      <c r="F8" s="128">
        <v>1.2857000000000001</v>
      </c>
    </row>
    <row r="9" spans="1:6">
      <c r="A9" t="s">
        <v>147</v>
      </c>
      <c r="B9">
        <v>37.5</v>
      </c>
      <c r="C9" s="224">
        <v>220</v>
      </c>
      <c r="D9" s="3">
        <v>1</v>
      </c>
      <c r="E9" s="3">
        <v>0.6</v>
      </c>
      <c r="F9" s="3">
        <v>2</v>
      </c>
    </row>
    <row r="11" spans="1:6">
      <c r="A11" s="111" t="s">
        <v>154</v>
      </c>
      <c r="B11" t="s">
        <v>155</v>
      </c>
      <c r="C11" t="s">
        <v>156</v>
      </c>
    </row>
    <row r="12" spans="1:6">
      <c r="A12" t="s">
        <v>56</v>
      </c>
      <c r="B12">
        <v>7</v>
      </c>
      <c r="C12">
        <v>0.17</v>
      </c>
    </row>
    <row r="13" spans="1:6">
      <c r="A13" t="s">
        <v>147</v>
      </c>
      <c r="B13">
        <v>7</v>
      </c>
      <c r="C13">
        <v>0.2</v>
      </c>
    </row>
    <row r="14" spans="1:6">
      <c r="A14" s="120"/>
    </row>
    <row r="16" spans="1:6">
      <c r="A16" s="111" t="s">
        <v>157</v>
      </c>
    </row>
    <row r="17" spans="1:2">
      <c r="A17" t="s">
        <v>151</v>
      </c>
      <c r="B17" s="139">
        <f>IF('Deployment input'!E26=MCP!B4,100%,IF('Deployment input'!E28=MCP!A4,MCP!D8,MCP!D9))</f>
        <v>0.875</v>
      </c>
    </row>
    <row r="18" spans="1:2">
      <c r="A18" t="s">
        <v>152</v>
      </c>
      <c r="B18" s="139">
        <f>IF('Deployment input'!E27=MCP!C4,100%,IF('Deployment input'!E28=MCP!A4,MCP!E8,MCP!E9))</f>
        <v>1</v>
      </c>
    </row>
    <row r="19" spans="1:2" ht="16" thickBot="1">
      <c r="A19" t="s">
        <v>158</v>
      </c>
      <c r="B19" s="223">
        <f>IF('Deployment input'!E25=MCP!D4,100%,IF('Deployment input'!E28=MCP!A4,F8,F9))</f>
        <v>1</v>
      </c>
    </row>
    <row r="20" spans="1:2" ht="17" thickTop="1" thickBot="1">
      <c r="A20" s="305" t="s">
        <v>302</v>
      </c>
      <c r="B20" s="306"/>
    </row>
    <row r="21" spans="1:2" ht="16" thickTop="1">
      <c r="A21" s="222" t="s">
        <v>150</v>
      </c>
      <c r="B21" s="235">
        <f>IF('Deployment input'!E28 = A4, B8,B9)</f>
        <v>43.75</v>
      </c>
    </row>
    <row r="22" spans="1:2">
      <c r="A22" s="221" t="s">
        <v>159</v>
      </c>
      <c r="B22" s="234">
        <f>B21*B17*B18*B19</f>
        <v>38.28125</v>
      </c>
    </row>
    <row r="23" spans="1:2">
      <c r="A23" s="221" t="s">
        <v>301</v>
      </c>
      <c r="B23" s="233">
        <f>'Deployment input'!B8+'Deployment input'!E12</f>
        <v>0</v>
      </c>
    </row>
    <row r="24" spans="1:2">
      <c r="A24" s="221" t="s">
        <v>160</v>
      </c>
      <c r="B24" s="233">
        <f>IF('Deployment input'!E29&gt;8,0,'Deployment input'!E29)</f>
        <v>8</v>
      </c>
    </row>
    <row r="25" spans="1:2">
      <c r="A25" s="221" t="s">
        <v>161</v>
      </c>
      <c r="B25" s="219">
        <f>CEILING(B22*B24,1)</f>
        <v>307</v>
      </c>
    </row>
    <row r="26" spans="1:2">
      <c r="A26" s="221" t="s">
        <v>162</v>
      </c>
      <c r="B26" s="219">
        <f>CEILING(B23/B25,1)</f>
        <v>0</v>
      </c>
    </row>
    <row r="27" spans="1:2">
      <c r="A27" s="221" t="s">
        <v>163</v>
      </c>
      <c r="B27" s="219">
        <f>CEILING(B26/10,1)+B26</f>
        <v>0</v>
      </c>
    </row>
    <row r="28" spans="1:2">
      <c r="A28" s="221" t="s">
        <v>164</v>
      </c>
      <c r="B28" s="219">
        <f>IF('Deployment input'!E28=MCP!A4,B12+MCP!B25*MCP!C12*IF('Deployment input'!E27=MCP!C4,1,2),B13+B25*C13*IF('Deployment input'!E27=C4,1,2))</f>
        <v>59.190000000000005</v>
      </c>
    </row>
    <row r="29" spans="1:2" ht="16" thickBot="1">
      <c r="A29" s="220" t="s">
        <v>165</v>
      </c>
      <c r="B29" s="236">
        <f>B25*4*64/1024</f>
        <v>76.75</v>
      </c>
    </row>
    <row r="30" spans="1:2" ht="17" thickTop="1" thickBot="1">
      <c r="A30" s="305" t="s">
        <v>304</v>
      </c>
      <c r="B30" s="306"/>
    </row>
    <row r="31" spans="1:2" ht="16" thickTop="1">
      <c r="A31" s="222" t="s">
        <v>305</v>
      </c>
      <c r="B31" s="235">
        <f>IF('Deployment input'!E28 = A4, C8,C9)</f>
        <v>220</v>
      </c>
    </row>
    <row r="32" spans="1:2">
      <c r="A32" s="221" t="s">
        <v>159</v>
      </c>
      <c r="B32" s="234">
        <f>B31*B17*B18*B19</f>
        <v>192.5</v>
      </c>
    </row>
    <row r="33" spans="1:2">
      <c r="A33" s="221" t="s">
        <v>303</v>
      </c>
      <c r="B33" s="233">
        <f>'Deployment input'!E13</f>
        <v>0</v>
      </c>
    </row>
    <row r="34" spans="1:2">
      <c r="A34" s="221" t="s">
        <v>160</v>
      </c>
      <c r="B34" s="233">
        <f>IF('Deployment input'!E29&gt;8,0,'Deployment input'!E29)</f>
        <v>8</v>
      </c>
    </row>
    <row r="35" spans="1:2">
      <c r="A35" s="221" t="s">
        <v>161</v>
      </c>
      <c r="B35" s="219">
        <f>CEILING(B32*B34,1)</f>
        <v>1540</v>
      </c>
    </row>
    <row r="36" spans="1:2">
      <c r="A36" s="221" t="s">
        <v>307</v>
      </c>
      <c r="B36" s="219">
        <f>CEILING(B33/B35,1)</f>
        <v>0</v>
      </c>
    </row>
    <row r="37" spans="1:2">
      <c r="A37" s="221" t="s">
        <v>308</v>
      </c>
      <c r="B37" s="219">
        <f>B36+'Deployment input'!E14</f>
        <v>0</v>
      </c>
    </row>
    <row r="38" spans="1:2">
      <c r="A38" s="221" t="s">
        <v>309</v>
      </c>
      <c r="B38" s="219">
        <f>IF('Deployment input'!E28=MCP!A4,B12+MCP!B35*MCP!C12*IF('Deployment input'!E27=MCP!C4,1,2),B13+B35*C13*IF('Deployment input'!E27=C4,1,2))*IF(B37=0,1,B36/B37)</f>
        <v>268.8</v>
      </c>
    </row>
    <row r="39" spans="1:2" ht="16" thickBot="1">
      <c r="A39" s="220" t="s">
        <v>310</v>
      </c>
      <c r="B39" s="236">
        <f>B35*4*64/1024*IF(B37=0,1,B36/B37)</f>
        <v>385</v>
      </c>
    </row>
    <row r="40" spans="1:2" ht="16" thickTop="1"/>
  </sheetData>
  <mergeCells count="2">
    <mergeCell ref="A20:B20"/>
    <mergeCell ref="A30:B30"/>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baseColWidth="10" defaultColWidth="8.83203125" defaultRowHeight="15"/>
  <cols>
    <col min="1" max="1" width="33.5" customWidth="1"/>
    <col min="2" max="3" width="14.5" bestFit="1" customWidth="1"/>
    <col min="4" max="4" width="18" bestFit="1" customWidth="1"/>
    <col min="5" max="5" width="15" bestFit="1" customWidth="1"/>
    <col min="6" max="6" width="10.5" bestFit="1" customWidth="1"/>
    <col min="7" max="7" width="10" bestFit="1" customWidth="1"/>
    <col min="8" max="8" width="13.5" bestFit="1" customWidth="1"/>
    <col min="9" max="9" width="14.1640625" bestFit="1" customWidth="1"/>
  </cols>
  <sheetData>
    <row r="1" spans="1:9">
      <c r="A1" s="16" t="s">
        <v>166</v>
      </c>
      <c r="B1" s="32" t="s">
        <v>167</v>
      </c>
      <c r="C1" s="5"/>
      <c r="D1" s="5"/>
      <c r="E1" s="5"/>
      <c r="F1" s="5"/>
      <c r="G1" s="5"/>
      <c r="H1" s="5"/>
      <c r="I1" s="5"/>
    </row>
    <row r="2" spans="1:9">
      <c r="A2" s="19" t="s">
        <v>168</v>
      </c>
      <c r="B2" s="33">
        <v>1</v>
      </c>
      <c r="C2" s="5"/>
      <c r="D2" s="5"/>
      <c r="E2" s="5"/>
      <c r="F2" s="5"/>
      <c r="G2" s="5"/>
      <c r="H2" s="5"/>
      <c r="I2" s="5"/>
    </row>
    <row r="3" spans="1:9">
      <c r="A3" s="19" t="s">
        <v>169</v>
      </c>
      <c r="B3" s="33">
        <v>2.4</v>
      </c>
      <c r="C3" s="5"/>
      <c r="D3" s="5"/>
      <c r="E3" s="5"/>
      <c r="F3" s="5"/>
      <c r="G3" s="5"/>
      <c r="H3" s="5"/>
      <c r="I3" s="5"/>
    </row>
    <row r="4" spans="1:9">
      <c r="A4" s="19" t="s">
        <v>170</v>
      </c>
      <c r="B4" s="33">
        <v>4</v>
      </c>
      <c r="C4" s="5"/>
      <c r="D4" s="5"/>
      <c r="E4" s="5"/>
      <c r="F4" s="5"/>
      <c r="G4" s="5"/>
      <c r="H4" s="5"/>
      <c r="I4" s="5"/>
    </row>
    <row r="5" spans="1:9">
      <c r="A5" s="19" t="s">
        <v>171</v>
      </c>
      <c r="B5" s="33">
        <v>8</v>
      </c>
      <c r="C5" s="5"/>
      <c r="D5" s="5"/>
      <c r="E5" s="5"/>
      <c r="F5" s="5"/>
      <c r="G5" s="5"/>
      <c r="H5" s="5"/>
      <c r="I5" s="5"/>
    </row>
    <row r="6" spans="1:9">
      <c r="A6" s="19" t="s">
        <v>172</v>
      </c>
      <c r="B6" s="33"/>
      <c r="C6" s="5"/>
      <c r="D6" s="5"/>
      <c r="E6" s="5"/>
      <c r="F6" s="5"/>
      <c r="G6" s="5"/>
      <c r="H6" s="5"/>
      <c r="I6" s="5"/>
    </row>
    <row r="7" spans="1:9">
      <c r="A7" s="19" t="s">
        <v>81</v>
      </c>
      <c r="B7" s="33"/>
      <c r="C7" s="5"/>
      <c r="D7" s="5"/>
      <c r="E7" s="5"/>
      <c r="F7" s="5"/>
      <c r="G7" s="5"/>
      <c r="H7" s="5"/>
      <c r="I7" s="5"/>
    </row>
    <row r="8" spans="1:9">
      <c r="A8" s="19" t="s">
        <v>173</v>
      </c>
      <c r="B8" s="34" t="s">
        <v>174</v>
      </c>
      <c r="C8" s="5"/>
      <c r="D8" s="5"/>
      <c r="E8" s="5"/>
      <c r="F8" s="5"/>
      <c r="G8" s="5"/>
      <c r="H8" s="5"/>
      <c r="I8" s="5"/>
    </row>
    <row r="9" spans="1:9">
      <c r="A9" s="30" t="s">
        <v>175</v>
      </c>
      <c r="B9" s="35" t="s">
        <v>176</v>
      </c>
      <c r="C9" s="5"/>
      <c r="D9" s="5"/>
      <c r="E9" s="5"/>
      <c r="F9" s="5"/>
      <c r="G9" s="5"/>
      <c r="H9" s="5"/>
      <c r="I9" s="5"/>
    </row>
    <row r="10" spans="1:9">
      <c r="A10" s="5"/>
      <c r="B10" s="8"/>
      <c r="C10" s="5"/>
      <c r="D10" s="5"/>
      <c r="E10" s="5"/>
      <c r="F10" s="5"/>
      <c r="G10" s="5"/>
      <c r="H10" s="5"/>
      <c r="I10" s="5"/>
    </row>
    <row r="11" spans="1:9">
      <c r="A11" s="5"/>
      <c r="B11" s="5"/>
      <c r="C11" s="5"/>
      <c r="D11" s="5"/>
      <c r="E11" s="5"/>
      <c r="F11" s="5"/>
      <c r="G11" s="5"/>
      <c r="H11" s="5"/>
      <c r="I11" s="5"/>
    </row>
    <row r="12" spans="1:9">
      <c r="A12" s="16" t="s">
        <v>177</v>
      </c>
      <c r="B12" s="17"/>
      <c r="C12" s="17"/>
      <c r="D12" s="17"/>
      <c r="E12" s="17"/>
      <c r="F12" s="17"/>
      <c r="G12" s="17"/>
      <c r="H12" s="17"/>
      <c r="I12" s="18"/>
    </row>
    <row r="13" spans="1:9">
      <c r="A13" s="19" t="s">
        <v>178</v>
      </c>
      <c r="B13" s="9" t="s">
        <v>179</v>
      </c>
      <c r="C13" s="9" t="s">
        <v>180</v>
      </c>
      <c r="D13" s="9" t="s">
        <v>181</v>
      </c>
      <c r="E13" s="9" t="s">
        <v>182</v>
      </c>
      <c r="F13" s="9" t="s">
        <v>183</v>
      </c>
      <c r="G13" s="9" t="s">
        <v>184</v>
      </c>
      <c r="H13" s="9" t="s">
        <v>185</v>
      </c>
      <c r="I13" s="20" t="s">
        <v>186</v>
      </c>
    </row>
    <row r="14" spans="1:9">
      <c r="A14" s="19">
        <v>200</v>
      </c>
      <c r="B14" s="9">
        <v>1</v>
      </c>
      <c r="C14" s="9">
        <v>6.2</v>
      </c>
      <c r="D14" s="9">
        <v>1.2</v>
      </c>
      <c r="E14" s="9">
        <v>63</v>
      </c>
      <c r="F14" s="9">
        <v>187</v>
      </c>
      <c r="G14" s="21">
        <f>C14/B14</f>
        <v>6.2</v>
      </c>
      <c r="H14" s="22">
        <f t="shared" ref="H14:I16" si="0">D14/$B14</f>
        <v>1.2</v>
      </c>
      <c r="I14" s="23">
        <f t="shared" si="0"/>
        <v>63</v>
      </c>
    </row>
    <row r="15" spans="1:9">
      <c r="A15" s="19">
        <v>100</v>
      </c>
      <c r="B15" s="9">
        <v>2</v>
      </c>
      <c r="C15" s="9">
        <v>13</v>
      </c>
      <c r="D15" s="9">
        <v>2.6</v>
      </c>
      <c r="E15" s="9">
        <v>112</v>
      </c>
      <c r="F15" s="9">
        <v>185</v>
      </c>
      <c r="G15" s="21">
        <f>C15/B15</f>
        <v>6.5</v>
      </c>
      <c r="H15" s="22">
        <f t="shared" si="0"/>
        <v>1.3</v>
      </c>
      <c r="I15" s="23">
        <f t="shared" si="0"/>
        <v>56</v>
      </c>
    </row>
    <row r="16" spans="1:9">
      <c r="A16" s="19">
        <v>67</v>
      </c>
      <c r="B16" s="9">
        <v>3</v>
      </c>
      <c r="C16" s="9">
        <v>15.6</v>
      </c>
      <c r="D16" s="9">
        <v>3.3</v>
      </c>
      <c r="E16" s="9">
        <v>193</v>
      </c>
      <c r="F16" s="9">
        <v>185</v>
      </c>
      <c r="G16" s="21">
        <f>C16/B16</f>
        <v>5.2</v>
      </c>
      <c r="H16" s="22">
        <f t="shared" si="0"/>
        <v>1.0999999999999999</v>
      </c>
      <c r="I16" s="23">
        <f t="shared" si="0"/>
        <v>64.333333333333329</v>
      </c>
    </row>
    <row r="17" spans="1:9">
      <c r="A17" s="19"/>
      <c r="B17" s="9"/>
      <c r="C17" s="9"/>
      <c r="D17" s="9"/>
      <c r="E17" s="9"/>
      <c r="F17" s="9"/>
      <c r="G17" s="9"/>
      <c r="H17" s="9"/>
      <c r="I17" s="20"/>
    </row>
    <row r="18" spans="1:9">
      <c r="A18" s="19" t="s">
        <v>187</v>
      </c>
      <c r="B18" s="21">
        <f>AVERAGE(G14:G16)</f>
        <v>5.9666666666666659</v>
      </c>
      <c r="C18" s="9"/>
      <c r="D18" s="9"/>
      <c r="E18" s="9"/>
      <c r="F18" s="9"/>
      <c r="G18" s="21"/>
      <c r="H18" s="9"/>
      <c r="I18" s="20"/>
    </row>
    <row r="19" spans="1:9">
      <c r="A19" s="24" t="s">
        <v>188</v>
      </c>
      <c r="B19" s="21">
        <f>F16</f>
        <v>185</v>
      </c>
      <c r="C19" s="9"/>
      <c r="D19" s="9"/>
      <c r="E19" s="9"/>
      <c r="F19" s="9"/>
      <c r="G19" s="21"/>
      <c r="H19" s="9"/>
      <c r="I19" s="20"/>
    </row>
    <row r="20" spans="1:9">
      <c r="A20" s="24" t="s">
        <v>189</v>
      </c>
      <c r="B20" s="21">
        <f>AVERAGE(H14:H16)</f>
        <v>1.2</v>
      </c>
      <c r="C20" s="9"/>
      <c r="D20" s="9"/>
      <c r="E20" s="9"/>
      <c r="F20" s="9"/>
      <c r="G20" s="21"/>
      <c r="H20" s="9"/>
      <c r="I20" s="20"/>
    </row>
    <row r="21" spans="1:9">
      <c r="A21" s="25" t="s">
        <v>190</v>
      </c>
      <c r="B21" s="26">
        <f>AVERAGE(I14:I16)</f>
        <v>61.111111111111107</v>
      </c>
      <c r="C21" s="27"/>
      <c r="D21" s="27"/>
      <c r="E21" s="27"/>
      <c r="F21" s="27"/>
      <c r="G21" s="26"/>
      <c r="H21" s="27"/>
      <c r="I21" s="28"/>
    </row>
    <row r="22" spans="1:9">
      <c r="A22" s="5"/>
      <c r="B22" s="5"/>
      <c r="C22" s="5"/>
      <c r="D22" s="5"/>
      <c r="E22" s="5"/>
      <c r="F22" s="5"/>
      <c r="G22" s="5"/>
      <c r="H22" s="5"/>
      <c r="I22" s="5"/>
    </row>
    <row r="23" spans="1:9">
      <c r="A23" s="16" t="s">
        <v>12</v>
      </c>
      <c r="B23" s="17"/>
      <c r="C23" s="17"/>
      <c r="D23" s="17"/>
      <c r="E23" s="18"/>
      <c r="F23" s="5"/>
      <c r="G23" s="5"/>
      <c r="H23" s="5"/>
      <c r="I23" s="5"/>
    </row>
    <row r="24" spans="1:9">
      <c r="A24" s="19" t="s">
        <v>178</v>
      </c>
      <c r="B24" s="9" t="s">
        <v>179</v>
      </c>
      <c r="C24" s="9" t="s">
        <v>180</v>
      </c>
      <c r="D24" s="9" t="s">
        <v>183</v>
      </c>
      <c r="E24" s="20" t="s">
        <v>184</v>
      </c>
      <c r="F24" s="5"/>
      <c r="G24" s="5"/>
      <c r="H24" s="5"/>
      <c r="I24" s="5"/>
    </row>
    <row r="25" spans="1:9">
      <c r="A25" s="19">
        <v>200</v>
      </c>
      <c r="B25" s="9">
        <v>1</v>
      </c>
      <c r="C25" s="9">
        <v>0.75</v>
      </c>
      <c r="D25" s="9">
        <v>53</v>
      </c>
      <c r="E25" s="29">
        <f>C25/B25</f>
        <v>0.75</v>
      </c>
      <c r="F25" s="5"/>
      <c r="G25" s="5"/>
      <c r="H25" s="5"/>
      <c r="I25" s="5"/>
    </row>
    <row r="26" spans="1:9">
      <c r="A26" s="19">
        <v>100</v>
      </c>
      <c r="B26" s="9">
        <v>2</v>
      </c>
      <c r="C26" s="9">
        <v>1.25</v>
      </c>
      <c r="D26" s="9">
        <v>53</v>
      </c>
      <c r="E26" s="29">
        <f>C26/B26</f>
        <v>0.625</v>
      </c>
      <c r="F26" s="5"/>
      <c r="G26" s="5"/>
      <c r="H26" s="5"/>
      <c r="I26" s="5"/>
    </row>
    <row r="27" spans="1:9">
      <c r="A27" s="19">
        <v>67</v>
      </c>
      <c r="B27" s="9">
        <v>3</v>
      </c>
      <c r="C27" s="9">
        <v>1.75</v>
      </c>
      <c r="D27" s="9">
        <v>53</v>
      </c>
      <c r="E27" s="29">
        <f>C27/B27</f>
        <v>0.58333333333333337</v>
      </c>
      <c r="F27" s="5"/>
      <c r="G27" s="5"/>
      <c r="H27" s="5"/>
      <c r="I27" s="5"/>
    </row>
    <row r="28" spans="1:9">
      <c r="A28" s="30"/>
      <c r="B28" s="27"/>
      <c r="C28" s="27"/>
      <c r="D28" s="27" t="s">
        <v>191</v>
      </c>
      <c r="E28" s="31">
        <f>AVERAGE(E25:E27)</f>
        <v>0.65277777777777779</v>
      </c>
      <c r="F28" s="5"/>
      <c r="G28" s="5"/>
      <c r="H28" s="5"/>
      <c r="I28" s="5"/>
    </row>
    <row r="29" spans="1:9">
      <c r="A29" s="5"/>
      <c r="B29" s="5"/>
      <c r="C29" s="5"/>
      <c r="D29" s="5"/>
      <c r="E29" s="12"/>
      <c r="F29" s="5"/>
      <c r="G29" s="5"/>
      <c r="H29" s="5"/>
      <c r="I29" s="5"/>
    </row>
    <row r="31" spans="1:9">
      <c r="A31" t="s">
        <v>192</v>
      </c>
    </row>
    <row r="32" spans="1:9">
      <c r="A32" t="s">
        <v>179</v>
      </c>
      <c r="B32" s="11">
        <f>'Deployment input'!B21</f>
        <v>0</v>
      </c>
    </row>
    <row r="34" spans="1:4">
      <c r="A34" s="37"/>
      <c r="B34" s="38" t="s">
        <v>79</v>
      </c>
      <c r="C34" s="39" t="s">
        <v>193</v>
      </c>
      <c r="D34" s="14"/>
    </row>
    <row r="35" spans="1:4">
      <c r="A35" s="40" t="s">
        <v>194</v>
      </c>
      <c r="B35" s="41">
        <f>$B$32*$E$28/100</f>
        <v>0</v>
      </c>
      <c r="C35" s="43"/>
      <c r="D35" s="14"/>
    </row>
  </sheetData>
  <pageMargins left="0.7" right="0.7" top="0.75" bottom="0.75" header="0.3" footer="0.3"/>
  <pageSetup orientation="portrait"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workbookViewId="0"/>
  </sheetViews>
  <sheetFormatPr baseColWidth="10" defaultColWidth="8.83203125" defaultRowHeight="15"/>
  <cols>
    <col min="1" max="1" width="43.5" customWidth="1"/>
    <col min="2" max="2" width="16.5" customWidth="1"/>
    <col min="3" max="3" width="24.83203125" customWidth="1"/>
    <col min="4" max="4" width="16.5" customWidth="1"/>
    <col min="5" max="5" width="26.1640625" customWidth="1"/>
    <col min="6" max="6" width="15.5" customWidth="1"/>
    <col min="7" max="7" width="10" bestFit="1" customWidth="1"/>
    <col min="8" max="8" width="12.5" customWidth="1"/>
    <col min="9" max="9" width="16" customWidth="1"/>
  </cols>
  <sheetData>
    <row r="1" spans="1:2">
      <c r="A1" s="5" t="s">
        <v>290</v>
      </c>
      <c r="B1" s="5">
        <v>0.7</v>
      </c>
    </row>
    <row r="2" spans="1:2">
      <c r="A2" s="5" t="s">
        <v>291</v>
      </c>
      <c r="B2" s="5">
        <v>0.3</v>
      </c>
    </row>
    <row r="3" spans="1:2">
      <c r="A3" s="5" t="s">
        <v>292</v>
      </c>
      <c r="B3" s="5">
        <v>0.5</v>
      </c>
    </row>
    <row r="4" spans="1:2">
      <c r="A4" s="5" t="s">
        <v>293</v>
      </c>
      <c r="B4" s="5">
        <f>SUM(B1:B3)</f>
        <v>1.5</v>
      </c>
    </row>
    <row r="5" spans="1:2">
      <c r="A5" s="10" t="s">
        <v>195</v>
      </c>
      <c r="B5" s="5">
        <f>1/B4</f>
        <v>0.66666666666666663</v>
      </c>
    </row>
    <row r="6" spans="1:2">
      <c r="A6" s="10" t="s">
        <v>196</v>
      </c>
      <c r="B6" s="118">
        <v>60</v>
      </c>
    </row>
    <row r="7" spans="1:2">
      <c r="A7" s="10" t="s">
        <v>197</v>
      </c>
      <c r="B7" s="5">
        <v>230</v>
      </c>
    </row>
    <row r="8" spans="1:2">
      <c r="A8" s="10" t="s">
        <v>198</v>
      </c>
      <c r="B8" s="5">
        <v>50.19</v>
      </c>
    </row>
    <row r="9" spans="1:2">
      <c r="A9" s="10" t="s">
        <v>199</v>
      </c>
      <c r="B9" s="133">
        <v>0.3</v>
      </c>
    </row>
    <row r="10" spans="1:2">
      <c r="A10" s="10" t="s">
        <v>200</v>
      </c>
      <c r="B10" s="133">
        <v>0.24</v>
      </c>
    </row>
    <row r="12" spans="1:2">
      <c r="A12" s="111" t="s">
        <v>157</v>
      </c>
    </row>
    <row r="13" spans="1:2">
      <c r="A13" t="s">
        <v>125</v>
      </c>
      <c r="B13" s="1">
        <f>'Deployment input'!B5</f>
        <v>0</v>
      </c>
    </row>
    <row r="14" spans="1:2">
      <c r="A14" t="s">
        <v>179</v>
      </c>
      <c r="B14" s="36">
        <f>'Deployment input'!B21</f>
        <v>0</v>
      </c>
    </row>
    <row r="18" spans="1:5">
      <c r="A18" s="37"/>
      <c r="B18" s="148" t="s">
        <v>201</v>
      </c>
      <c r="C18" s="148" t="s">
        <v>202</v>
      </c>
      <c r="D18" s="148" t="s">
        <v>196</v>
      </c>
      <c r="E18" s="149" t="s">
        <v>203</v>
      </c>
    </row>
    <row r="19" spans="1:5">
      <c r="A19" s="40" t="s">
        <v>204</v>
      </c>
      <c r="B19" s="103">
        <f>IF(B13&gt;5000,B9,B10)</f>
        <v>0.24</v>
      </c>
      <c r="C19" s="100">
        <f>IF(B13&gt;5000,B7,B8)</f>
        <v>50.19</v>
      </c>
      <c r="D19" s="101">
        <f>B14*B6</f>
        <v>0</v>
      </c>
      <c r="E19" s="134">
        <f>CEILING(B14/B5,1)</f>
        <v>0</v>
      </c>
    </row>
  </sheetData>
  <pageMargins left="0.7" right="0.7" top="0.75" bottom="0.75" header="0.3" footer="0.3"/>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5D90BA62578B45B3D205A8732CE267" ma:contentTypeVersion="13" ma:contentTypeDescription="Create a new document." ma:contentTypeScope="" ma:versionID="9e14ca240f63fcd7e969f1031c3b6b0b">
  <xsd:schema xmlns:xsd="http://www.w3.org/2001/XMLSchema" xmlns:xs="http://www.w3.org/2001/XMLSchema" xmlns:p="http://schemas.microsoft.com/office/2006/metadata/properties" xmlns:ns2="ed24b13c-730e-4315-a01e-43f44e7a252c" xmlns:ns3="a0bd1731-f0f5-4da4-9648-c9d84570fe85" targetNamespace="http://schemas.microsoft.com/office/2006/metadata/properties" ma:root="true" ma:fieldsID="cd6cda7ca73db833b6d202bc094ae4e5" ns2:_="" ns3:_="">
    <xsd:import namespace="ed24b13c-730e-4315-a01e-43f44e7a252c"/>
    <xsd:import namespace="a0bd1731-f0f5-4da4-9648-c9d84570fe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scription0"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4b13c-730e-4315-a01e-43f44e7a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scription0" ma:index="12" nillable="true" ma:displayName="Description" ma:format="Dropdown" ma:internalName="Description0">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bd1731-f0f5-4da4-9648-c9d84570fe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ed24b13c-730e-4315-a01e-43f44e7a252c" xsi:nil="true"/>
  </documentManagement>
</p:properties>
</file>

<file path=customXml/itemProps1.xml><?xml version="1.0" encoding="utf-8"?>
<ds:datastoreItem xmlns:ds="http://schemas.openxmlformats.org/officeDocument/2006/customXml" ds:itemID="{4B529169-09D4-4973-AEF5-8F87CD2FFE24}"/>
</file>

<file path=customXml/itemProps2.xml><?xml version="1.0" encoding="utf-8"?>
<ds:datastoreItem xmlns:ds="http://schemas.openxmlformats.org/officeDocument/2006/customXml" ds:itemID="{7713EB0D-774A-4F44-89B4-67AA937D6412}"/>
</file>

<file path=customXml/itemProps3.xml><?xml version="1.0" encoding="utf-8"?>
<ds:datastoreItem xmlns:ds="http://schemas.openxmlformats.org/officeDocument/2006/customXml" ds:itemID="{C280C21A-A2E1-404C-9437-B26C4537D50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Revision History</vt:lpstr>
      <vt:lpstr>Version Changes</vt:lpstr>
      <vt:lpstr>Deployment input</vt:lpstr>
      <vt:lpstr>Output Summary</vt:lpstr>
      <vt:lpstr>Voice recording storage</vt:lpstr>
      <vt:lpstr>Screen recording storage</vt:lpstr>
      <vt:lpstr>MCP</vt:lpstr>
      <vt:lpstr>ICON</vt:lpstr>
      <vt:lpstr>RP</vt:lpstr>
      <vt:lpstr>Voice Processor</vt:lpstr>
      <vt:lpstr>Muxer</vt:lpstr>
      <vt:lpstr>RCS</vt:lpstr>
      <vt:lpstr>RWS</vt:lpstr>
      <vt:lpstr>Elasticsearch</vt:lpstr>
      <vt:lpstr>Cassandra</vt:lpstr>
      <vt:lpstr>WebDAV</vt:lpstr>
      <vt:lpstr>SpeechMiner</vt:lpstr>
      <vt:lpstr>'Version Changes'!Print_Area</vt:lpstr>
      <vt:lpstr>VideoQuality</vt:lpstr>
    </vt:vector>
  </TitlesOfParts>
  <Company>Genesys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helum</dc:creator>
  <cp:lastModifiedBy>Microsoft Office User</cp:lastModifiedBy>
  <cp:revision/>
  <cp:lastPrinted>2018-06-11T16:49:21Z</cp:lastPrinted>
  <dcterms:created xsi:type="dcterms:W3CDTF">2014-02-25T18:38:16Z</dcterms:created>
  <dcterms:modified xsi:type="dcterms:W3CDTF">2020-04-07T17:46:07Z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0x010100C75D90BA62578B45B3D205A8732CE267</vt:lpwstr>
  </property>
</Properties>
</file>